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35" yWindow="-45" windowWidth="13065" windowHeight="11100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уровень'!$B$8:$J$399</definedName>
    <definedName name="_xlnm._FilterDatabase" localSheetId="1" hidden="1">'2 уровень'!$B$7:$J$369</definedName>
    <definedName name="_xlnm._FilterDatabase" localSheetId="4" hidden="1">'СВОД 1'!$A$6:$GC$262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уровень'!$B:$B,'1 уровень'!$5:$6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уровень'!$B$1:$J$399</definedName>
    <definedName name="_xlnm.Print_Area" localSheetId="1">'2 уровень'!$B$1:$J$391</definedName>
    <definedName name="_xlnm.Print_Area" localSheetId="2">'Аян '!$A$1:$I$32</definedName>
    <definedName name="_xlnm.Print_Area" localSheetId="3">'Охотск '!$A$1:$I$32</definedName>
    <definedName name="_xlnm.Print_Area" localSheetId="4">'СВОД 1'!$A$1:$I$259</definedName>
  </definedNames>
  <calcPr calcId="145621"/>
</workbook>
</file>

<file path=xl/calcChain.xml><?xml version="1.0" encoding="utf-8"?>
<calcChain xmlns="http://schemas.openxmlformats.org/spreadsheetml/2006/main">
  <c r="I304" i="157" l="1"/>
  <c r="E304" i="157"/>
  <c r="I275" i="157"/>
  <c r="E275" i="157"/>
  <c r="I246" i="157"/>
  <c r="E246" i="157"/>
  <c r="I194" i="157"/>
  <c r="E194" i="157"/>
  <c r="I166" i="157"/>
  <c r="E166" i="157"/>
  <c r="I155" i="157"/>
  <c r="E155" i="157"/>
  <c r="I126" i="157"/>
  <c r="E126" i="157"/>
  <c r="I88" i="157"/>
  <c r="E88" i="157"/>
  <c r="I65" i="157"/>
  <c r="E65" i="157"/>
  <c r="I53" i="157"/>
  <c r="E53" i="157"/>
  <c r="I43" i="157"/>
  <c r="E43" i="157"/>
  <c r="I33" i="157"/>
  <c r="E33" i="157"/>
  <c r="I19" i="157"/>
  <c r="E19" i="157"/>
  <c r="I321" i="156"/>
  <c r="E321" i="156"/>
  <c r="I294" i="156"/>
  <c r="E294" i="156"/>
  <c r="I266" i="156"/>
  <c r="I196" i="156"/>
  <c r="E196" i="156"/>
  <c r="I120" i="156" l="1"/>
  <c r="E120" i="156"/>
  <c r="I57" i="156"/>
  <c r="E57" i="156"/>
  <c r="I35" i="156"/>
  <c r="E35" i="156"/>
  <c r="I248" i="156" l="1"/>
  <c r="H168" i="156" l="1"/>
  <c r="J168" i="156" s="1"/>
  <c r="H169" i="156"/>
  <c r="J169" i="156" s="1"/>
  <c r="G26" i="157" l="1"/>
  <c r="J267" i="156" l="1"/>
  <c r="J197" i="156"/>
  <c r="E246" i="37" l="1"/>
  <c r="E247" i="37"/>
  <c r="D11" i="156" l="1"/>
  <c r="I187" i="156" l="1"/>
  <c r="G187" i="156"/>
  <c r="E187" i="156"/>
  <c r="C187" i="156"/>
  <c r="G18" i="57"/>
  <c r="G17" i="57"/>
  <c r="G16" i="57"/>
  <c r="G15" i="57"/>
  <c r="G13" i="57"/>
  <c r="G12" i="57"/>
  <c r="G11" i="57"/>
  <c r="G10" i="57"/>
  <c r="G18" i="46"/>
  <c r="G17" i="46"/>
  <c r="G16" i="46"/>
  <c r="G15" i="46"/>
  <c r="G13" i="46"/>
  <c r="G12" i="46"/>
  <c r="G11" i="46"/>
  <c r="G10" i="46"/>
  <c r="H356" i="157"/>
  <c r="H351" i="157"/>
  <c r="H350" i="157"/>
  <c r="H349" i="157"/>
  <c r="H348" i="157"/>
  <c r="H331" i="157"/>
  <c r="H326" i="157"/>
  <c r="H325" i="157"/>
  <c r="H324" i="157"/>
  <c r="H323" i="157"/>
  <c r="H305" i="157"/>
  <c r="J305" i="157" s="1"/>
  <c r="H304" i="157"/>
  <c r="H299" i="157"/>
  <c r="H298" i="157"/>
  <c r="H297" i="157"/>
  <c r="H296" i="157"/>
  <c r="H277" i="157"/>
  <c r="H276" i="157"/>
  <c r="J276" i="157" s="1"/>
  <c r="H275" i="157"/>
  <c r="H270" i="157"/>
  <c r="H269" i="157"/>
  <c r="H268" i="157"/>
  <c r="H267" i="157"/>
  <c r="H248" i="157"/>
  <c r="H247" i="157"/>
  <c r="J247" i="157" s="1"/>
  <c r="H246" i="157"/>
  <c r="H241" i="157"/>
  <c r="H240" i="157"/>
  <c r="H239" i="157"/>
  <c r="H238" i="157"/>
  <c r="H221" i="157"/>
  <c r="H216" i="157"/>
  <c r="H215" i="157"/>
  <c r="H214" i="157"/>
  <c r="H213" i="157"/>
  <c r="H195" i="157"/>
  <c r="J195" i="157" s="1"/>
  <c r="H194" i="157"/>
  <c r="H189" i="157"/>
  <c r="J189" i="157" s="1"/>
  <c r="H188" i="157"/>
  <c r="H187" i="157"/>
  <c r="H186" i="157"/>
  <c r="H167" i="157"/>
  <c r="J167" i="157" s="1"/>
  <c r="H166" i="157"/>
  <c r="H163" i="157"/>
  <c r="H162" i="157"/>
  <c r="H155" i="157"/>
  <c r="H150" i="157"/>
  <c r="H149" i="157"/>
  <c r="H148" i="157"/>
  <c r="H147" i="157"/>
  <c r="H128" i="157"/>
  <c r="J128" i="157" s="1"/>
  <c r="H127" i="157"/>
  <c r="J127" i="157" s="1"/>
  <c r="H126" i="157"/>
  <c r="H121" i="157"/>
  <c r="H120" i="157"/>
  <c r="H119" i="157"/>
  <c r="H118" i="157"/>
  <c r="H98" i="157"/>
  <c r="H95" i="157"/>
  <c r="H94" i="157"/>
  <c r="H89" i="157"/>
  <c r="J89" i="157" s="1"/>
  <c r="H88" i="157"/>
  <c r="H83" i="157"/>
  <c r="H82" i="157"/>
  <c r="H81" i="157"/>
  <c r="H76" i="157"/>
  <c r="H73" i="157"/>
  <c r="H72" i="157"/>
  <c r="H67" i="157"/>
  <c r="J67" i="157" s="1"/>
  <c r="H66" i="157"/>
  <c r="J66" i="157" s="1"/>
  <c r="H65" i="157"/>
  <c r="H61" i="157"/>
  <c r="H60" i="157"/>
  <c r="H55" i="157"/>
  <c r="J55" i="157" s="1"/>
  <c r="H54" i="157"/>
  <c r="J54" i="157" s="1"/>
  <c r="H53" i="157"/>
  <c r="H50" i="157"/>
  <c r="H49" i="157"/>
  <c r="H44" i="157"/>
  <c r="J44" i="157" s="1"/>
  <c r="H43" i="157"/>
  <c r="H40" i="157"/>
  <c r="H39" i="157"/>
  <c r="H34" i="157"/>
  <c r="J34" i="157" s="1"/>
  <c r="H33" i="157"/>
  <c r="H28" i="157"/>
  <c r="H27" i="157"/>
  <c r="H26" i="157"/>
  <c r="H25" i="157"/>
  <c r="H20" i="157"/>
  <c r="J20" i="157" s="1"/>
  <c r="H19" i="157"/>
  <c r="H14" i="157"/>
  <c r="H13" i="157"/>
  <c r="H12" i="157"/>
  <c r="H11" i="157"/>
  <c r="H386" i="156"/>
  <c r="H385" i="156"/>
  <c r="H384" i="156"/>
  <c r="H383" i="156"/>
  <c r="H381" i="156"/>
  <c r="H380" i="156"/>
  <c r="H379" i="156"/>
  <c r="H378" i="156"/>
  <c r="H374" i="156"/>
  <c r="H373" i="156"/>
  <c r="H372" i="156"/>
  <c r="H371" i="156"/>
  <c r="H369" i="156"/>
  <c r="H368" i="156"/>
  <c r="H367" i="156"/>
  <c r="H366" i="156"/>
  <c r="H349" i="156"/>
  <c r="H348" i="156"/>
  <c r="H347" i="156"/>
  <c r="H346" i="156"/>
  <c r="H344" i="156"/>
  <c r="H343" i="156"/>
  <c r="H342" i="156"/>
  <c r="H341" i="156"/>
  <c r="H323" i="156"/>
  <c r="J323" i="156" s="1"/>
  <c r="H322" i="156"/>
  <c r="J322" i="156" s="1"/>
  <c r="H321" i="156"/>
  <c r="H320" i="156"/>
  <c r="H319" i="156"/>
  <c r="H318" i="156"/>
  <c r="H316" i="156"/>
  <c r="H315" i="156"/>
  <c r="H314" i="156"/>
  <c r="H313" i="156"/>
  <c r="H295" i="156"/>
  <c r="J295" i="156" s="1"/>
  <c r="H294" i="156"/>
  <c r="H293" i="156"/>
  <c r="H292" i="156"/>
  <c r="H291" i="156"/>
  <c r="H289" i="156"/>
  <c r="H288" i="156"/>
  <c r="H287" i="156"/>
  <c r="H286" i="156"/>
  <c r="H267" i="156"/>
  <c r="H266" i="156"/>
  <c r="H265" i="156"/>
  <c r="H264" i="156"/>
  <c r="H263" i="156"/>
  <c r="H261" i="156"/>
  <c r="H260" i="156"/>
  <c r="H259" i="156"/>
  <c r="H258" i="156"/>
  <c r="H237" i="156"/>
  <c r="H236" i="156"/>
  <c r="H234" i="156"/>
  <c r="H233" i="156"/>
  <c r="H228" i="156"/>
  <c r="H227" i="156"/>
  <c r="H225" i="156"/>
  <c r="H224" i="156"/>
  <c r="H206" i="156"/>
  <c r="H205" i="156"/>
  <c r="H203" i="156"/>
  <c r="H202" i="156"/>
  <c r="H197" i="156"/>
  <c r="H196" i="156"/>
  <c r="H195" i="156"/>
  <c r="H194" i="156"/>
  <c r="H193" i="156"/>
  <c r="H191" i="156"/>
  <c r="H190" i="156"/>
  <c r="H189" i="156"/>
  <c r="H188" i="156"/>
  <c r="H183" i="156"/>
  <c r="H182" i="156"/>
  <c r="H181" i="156"/>
  <c r="H179" i="156"/>
  <c r="H178" i="156"/>
  <c r="H173" i="156"/>
  <c r="H172" i="156"/>
  <c r="H171" i="156"/>
  <c r="H163" i="156"/>
  <c r="H162" i="156"/>
  <c r="H161" i="156"/>
  <c r="H159" i="156"/>
  <c r="H158" i="156"/>
  <c r="H153" i="156"/>
  <c r="H152" i="156"/>
  <c r="H151" i="156"/>
  <c r="H149" i="156"/>
  <c r="H148" i="156"/>
  <c r="H143" i="156"/>
  <c r="H142" i="156"/>
  <c r="H140" i="156"/>
  <c r="H139" i="156"/>
  <c r="H134" i="156"/>
  <c r="H133" i="156"/>
  <c r="H132" i="156"/>
  <c r="H131" i="156"/>
  <c r="H129" i="156"/>
  <c r="H128" i="156"/>
  <c r="H127" i="156"/>
  <c r="H126" i="156"/>
  <c r="H121" i="156"/>
  <c r="H120" i="156"/>
  <c r="H119" i="156"/>
  <c r="H117" i="156"/>
  <c r="H116" i="156"/>
  <c r="H111" i="156"/>
  <c r="H110" i="156"/>
  <c r="H109" i="156"/>
  <c r="H108" i="156"/>
  <c r="H106" i="156"/>
  <c r="H105" i="156"/>
  <c r="H104" i="156"/>
  <c r="H103" i="156"/>
  <c r="H98" i="156"/>
  <c r="H97" i="156"/>
  <c r="H96" i="156"/>
  <c r="H95" i="156"/>
  <c r="H93" i="156"/>
  <c r="H92" i="156"/>
  <c r="H91" i="156"/>
  <c r="H90" i="156"/>
  <c r="H85" i="156"/>
  <c r="H84" i="156"/>
  <c r="H82" i="156"/>
  <c r="H81" i="156"/>
  <c r="H76" i="156"/>
  <c r="H75" i="156"/>
  <c r="H73" i="156"/>
  <c r="H72" i="156"/>
  <c r="H67" i="156"/>
  <c r="H66" i="156"/>
  <c r="H64" i="156"/>
  <c r="H63" i="156"/>
  <c r="H58" i="156"/>
  <c r="J58" i="156" s="1"/>
  <c r="H57" i="156"/>
  <c r="H56" i="156"/>
  <c r="H55" i="156"/>
  <c r="H53" i="156"/>
  <c r="H52" i="156"/>
  <c r="H47" i="156"/>
  <c r="H46" i="156"/>
  <c r="H45" i="156"/>
  <c r="H43" i="156"/>
  <c r="H42" i="156"/>
  <c r="H37" i="156"/>
  <c r="J37" i="156" s="1"/>
  <c r="H36" i="156"/>
  <c r="J36" i="156" s="1"/>
  <c r="H35" i="156"/>
  <c r="H34" i="156"/>
  <c r="H32" i="156"/>
  <c r="H31" i="156"/>
  <c r="H14" i="156"/>
  <c r="H15" i="156"/>
  <c r="H12" i="156"/>
  <c r="H11" i="156"/>
  <c r="D197" i="156"/>
  <c r="D196" i="156"/>
  <c r="D195" i="156"/>
  <c r="D194" i="156"/>
  <c r="D193" i="156"/>
  <c r="D191" i="156"/>
  <c r="D189" i="156"/>
  <c r="D188" i="156"/>
  <c r="B1" i="157"/>
  <c r="G157" i="157"/>
  <c r="H157" i="157" s="1"/>
  <c r="J157" i="157" s="1"/>
  <c r="G156" i="157"/>
  <c r="H156" i="157" s="1"/>
  <c r="J156" i="157" s="1"/>
  <c r="G15" i="156"/>
  <c r="D187" i="156" l="1"/>
  <c r="H187" i="156"/>
  <c r="G330" i="157"/>
  <c r="H330" i="157" s="1"/>
  <c r="G329" i="157"/>
  <c r="H329" i="157" s="1"/>
  <c r="G328" i="157"/>
  <c r="H328" i="157" s="1"/>
  <c r="G303" i="157"/>
  <c r="H303" i="157" s="1"/>
  <c r="G302" i="157"/>
  <c r="H302" i="157" s="1"/>
  <c r="G301" i="157"/>
  <c r="H301" i="157" s="1"/>
  <c r="G293" i="156"/>
  <c r="G292" i="156"/>
  <c r="G291" i="156"/>
  <c r="G320" i="156"/>
  <c r="G319" i="156"/>
  <c r="G318" i="156"/>
  <c r="H355" i="157"/>
  <c r="H354" i="157"/>
  <c r="H353" i="157"/>
  <c r="G245" i="157"/>
  <c r="H245" i="157" s="1"/>
  <c r="G244" i="157"/>
  <c r="H244" i="157" s="1"/>
  <c r="G243" i="157"/>
  <c r="H243" i="157" s="1"/>
  <c r="G193" i="157"/>
  <c r="H193" i="157" s="1"/>
  <c r="G192" i="157"/>
  <c r="H192" i="157" s="1"/>
  <c r="G191" i="157"/>
  <c r="H191" i="157" s="1"/>
  <c r="G274" i="157"/>
  <c r="H274" i="157" s="1"/>
  <c r="G273" i="157"/>
  <c r="H273" i="157" s="1"/>
  <c r="G272" i="157"/>
  <c r="H272" i="157" s="1"/>
  <c r="G165" i="157"/>
  <c r="H165" i="157" s="1"/>
  <c r="G154" i="157"/>
  <c r="H154" i="157" s="1"/>
  <c r="G153" i="157"/>
  <c r="H153" i="157" s="1"/>
  <c r="G152" i="157"/>
  <c r="H152" i="157" s="1"/>
  <c r="G125" i="157"/>
  <c r="H125" i="157" s="1"/>
  <c r="G124" i="157"/>
  <c r="H124" i="157" s="1"/>
  <c r="G123" i="157"/>
  <c r="H123" i="157" s="1"/>
  <c r="G97" i="157"/>
  <c r="H97" i="157" s="1"/>
  <c r="G87" i="157"/>
  <c r="H87" i="157" s="1"/>
  <c r="G86" i="157"/>
  <c r="H86" i="157" s="1"/>
  <c r="G85" i="157"/>
  <c r="H85" i="157" s="1"/>
  <c r="G75" i="157"/>
  <c r="H75" i="157" s="1"/>
  <c r="G64" i="157"/>
  <c r="H64" i="157" s="1"/>
  <c r="G63" i="157"/>
  <c r="H63" i="157" s="1"/>
  <c r="G52" i="157"/>
  <c r="H52" i="157" s="1"/>
  <c r="G42" i="157"/>
  <c r="H42" i="157" s="1"/>
  <c r="H32" i="157"/>
  <c r="H31" i="157"/>
  <c r="H30" i="157"/>
  <c r="H18" i="157"/>
  <c r="H17" i="157"/>
  <c r="H16" i="157"/>
  <c r="G220" i="157"/>
  <c r="H220" i="157" s="1"/>
  <c r="G219" i="157"/>
  <c r="H219" i="157" s="1"/>
  <c r="G218" i="157"/>
  <c r="H218" i="157" s="1"/>
  <c r="G348" i="156"/>
  <c r="G347" i="156"/>
  <c r="G346" i="156"/>
  <c r="G265" i="156"/>
  <c r="G264" i="156"/>
  <c r="G263" i="156"/>
  <c r="G385" i="156"/>
  <c r="G384" i="156"/>
  <c r="G383" i="156"/>
  <c r="G373" i="156"/>
  <c r="G372" i="156"/>
  <c r="G371" i="156"/>
  <c r="G195" i="156"/>
  <c r="G194" i="156"/>
  <c r="G193" i="156"/>
  <c r="G236" i="156"/>
  <c r="G205" i="156"/>
  <c r="G227" i="156"/>
  <c r="G56" i="156"/>
  <c r="G55" i="156"/>
  <c r="G46" i="156"/>
  <c r="G45" i="156"/>
  <c r="G34" i="156"/>
  <c r="G182" i="156"/>
  <c r="G181" i="156"/>
  <c r="G172" i="156"/>
  <c r="G171" i="156"/>
  <c r="G162" i="156"/>
  <c r="G161" i="156"/>
  <c r="G152" i="156"/>
  <c r="G151" i="156"/>
  <c r="G142" i="156"/>
  <c r="G133" i="156"/>
  <c r="G132" i="156"/>
  <c r="G131" i="156"/>
  <c r="G119" i="156"/>
  <c r="G110" i="156"/>
  <c r="G109" i="156"/>
  <c r="G108" i="156"/>
  <c r="G97" i="156"/>
  <c r="G96" i="156"/>
  <c r="G95" i="156"/>
  <c r="G84" i="156"/>
  <c r="G75" i="156"/>
  <c r="G66" i="156"/>
  <c r="J191" i="156" l="1"/>
  <c r="I245" i="156"/>
  <c r="G245" i="156"/>
  <c r="E245" i="156"/>
  <c r="C245" i="156"/>
  <c r="I44" i="156" l="1"/>
  <c r="I249" i="156" l="1"/>
  <c r="G249" i="156"/>
  <c r="G248" i="156"/>
  <c r="E249" i="156"/>
  <c r="E248" i="156"/>
  <c r="C249" i="156"/>
  <c r="C248" i="156"/>
  <c r="J194" i="156" l="1"/>
  <c r="J195" i="156"/>
  <c r="I192" i="156"/>
  <c r="H192" i="156"/>
  <c r="G192" i="156"/>
  <c r="E192" i="156"/>
  <c r="C192" i="156"/>
  <c r="D192" i="156"/>
  <c r="F195" i="156"/>
  <c r="F194" i="156"/>
  <c r="I181" i="157" l="1"/>
  <c r="G181" i="157"/>
  <c r="C181" i="157"/>
  <c r="E181" i="157"/>
  <c r="C318" i="157"/>
  <c r="E318" i="157"/>
  <c r="D192" i="37" s="1"/>
  <c r="G318" i="157"/>
  <c r="F192" i="37" s="1"/>
  <c r="H318" i="157"/>
  <c r="G192" i="37" s="1"/>
  <c r="I318" i="157"/>
  <c r="H192" i="37" s="1"/>
  <c r="J318" i="157"/>
  <c r="I192" i="37" s="1"/>
  <c r="B192" i="37"/>
  <c r="I112" i="157"/>
  <c r="G112" i="157"/>
  <c r="C112" i="157"/>
  <c r="E112" i="157"/>
  <c r="C308" i="156"/>
  <c r="B113" i="37" s="1"/>
  <c r="E308" i="156"/>
  <c r="D113" i="37" s="1"/>
  <c r="G308" i="156"/>
  <c r="F113" i="37" s="1"/>
  <c r="H308" i="156"/>
  <c r="I308" i="156"/>
  <c r="H113" i="37" s="1"/>
  <c r="J308" i="156"/>
  <c r="I113" i="37" s="1"/>
  <c r="C281" i="156"/>
  <c r="B73" i="37" s="1"/>
  <c r="E281" i="156"/>
  <c r="D73" i="37" s="1"/>
  <c r="G281" i="156"/>
  <c r="F73" i="37" s="1"/>
  <c r="H281" i="156"/>
  <c r="I281" i="156"/>
  <c r="H73" i="37" s="1"/>
  <c r="J281" i="156"/>
  <c r="I73" i="37" s="1"/>
  <c r="B74" i="37"/>
  <c r="C74" i="37"/>
  <c r="D74" i="37"/>
  <c r="C15" i="57"/>
  <c r="C16" i="57"/>
  <c r="C17" i="57"/>
  <c r="G73" i="37" l="1"/>
  <c r="G113" i="37"/>
  <c r="D12" i="157"/>
  <c r="D305" i="157" l="1"/>
  <c r="D157" i="157"/>
  <c r="F157" i="157" s="1"/>
  <c r="F181" i="157" s="1"/>
  <c r="D67" i="157"/>
  <c r="F67" i="157" s="1"/>
  <c r="D267" i="156"/>
  <c r="F305" i="157" l="1"/>
  <c r="F318" i="157" s="1"/>
  <c r="E192" i="37" s="1"/>
  <c r="D318" i="157"/>
  <c r="C192" i="37" s="1"/>
  <c r="F281" i="156"/>
  <c r="E73" i="37" s="1"/>
  <c r="D281" i="156"/>
  <c r="C73" i="37" s="1"/>
  <c r="D321" i="156"/>
  <c r="D335" i="156" s="1"/>
  <c r="I243" i="156"/>
  <c r="G243" i="156"/>
  <c r="E243" i="156"/>
  <c r="D12" i="156"/>
  <c r="D22" i="156" s="1"/>
  <c r="D14" i="156"/>
  <c r="D13" i="156" s="1"/>
  <c r="D23" i="156" s="1"/>
  <c r="D15" i="156"/>
  <c r="D25" i="156" s="1"/>
  <c r="D26" i="156"/>
  <c r="D31" i="156"/>
  <c r="D32" i="156"/>
  <c r="D34" i="156"/>
  <c r="D33" i="156" s="1"/>
  <c r="D35" i="156"/>
  <c r="D36" i="156"/>
  <c r="D37" i="156"/>
  <c r="D42" i="156"/>
  <c r="D43" i="156"/>
  <c r="D45" i="156"/>
  <c r="D46" i="156"/>
  <c r="D47" i="156"/>
  <c r="D52" i="156"/>
  <c r="D53" i="156"/>
  <c r="D55" i="156"/>
  <c r="D56" i="156"/>
  <c r="D57" i="156"/>
  <c r="D58" i="156"/>
  <c r="F58" i="156" s="1"/>
  <c r="D63" i="156"/>
  <c r="D64" i="156"/>
  <c r="D66" i="156"/>
  <c r="D65" i="156" s="1"/>
  <c r="D67" i="156"/>
  <c r="D72" i="156"/>
  <c r="D73" i="156"/>
  <c r="D75" i="156"/>
  <c r="D74" i="156" s="1"/>
  <c r="D76" i="156"/>
  <c r="D81" i="156"/>
  <c r="D82" i="156"/>
  <c r="D84" i="156"/>
  <c r="D83" i="156" s="1"/>
  <c r="D85" i="156"/>
  <c r="D90" i="156"/>
  <c r="D91" i="156"/>
  <c r="D92" i="156"/>
  <c r="D93" i="156"/>
  <c r="D95" i="156"/>
  <c r="D96" i="156"/>
  <c r="D97" i="156"/>
  <c r="D98" i="156"/>
  <c r="D103" i="156"/>
  <c r="D104" i="156"/>
  <c r="D105" i="156"/>
  <c r="D106" i="156"/>
  <c r="D108" i="156"/>
  <c r="D109" i="156"/>
  <c r="D110" i="156"/>
  <c r="D111" i="156"/>
  <c r="D116" i="156"/>
  <c r="D117" i="156"/>
  <c r="D119" i="156"/>
  <c r="D118" i="156" s="1"/>
  <c r="D120" i="156"/>
  <c r="D121" i="156"/>
  <c r="D126" i="156"/>
  <c r="D127" i="156"/>
  <c r="D128" i="156"/>
  <c r="D129" i="156"/>
  <c r="D131" i="156"/>
  <c r="D132" i="156"/>
  <c r="D133" i="156"/>
  <c r="D134" i="156"/>
  <c r="D139" i="156"/>
  <c r="D140" i="156"/>
  <c r="D142" i="156"/>
  <c r="D141" i="156" s="1"/>
  <c r="D143" i="156"/>
  <c r="D148" i="156"/>
  <c r="D149" i="156"/>
  <c r="D151" i="156"/>
  <c r="D152" i="156"/>
  <c r="D153" i="156"/>
  <c r="D158" i="156"/>
  <c r="D159" i="156"/>
  <c r="D161" i="156"/>
  <c r="D162" i="156"/>
  <c r="D163" i="156"/>
  <c r="D168" i="156"/>
  <c r="F168" i="156" s="1"/>
  <c r="D169" i="156"/>
  <c r="F169" i="156" s="1"/>
  <c r="D171" i="156"/>
  <c r="D172" i="156"/>
  <c r="D173" i="156"/>
  <c r="D178" i="156"/>
  <c r="D179" i="156"/>
  <c r="D181" i="156"/>
  <c r="D182" i="156"/>
  <c r="D183" i="156"/>
  <c r="D202" i="156"/>
  <c r="D203" i="156"/>
  <c r="D205" i="156"/>
  <c r="D204" i="156" s="1"/>
  <c r="D206" i="156"/>
  <c r="D224" i="156"/>
  <c r="D225" i="156"/>
  <c r="D227" i="156"/>
  <c r="D226" i="156" s="1"/>
  <c r="D228" i="156"/>
  <c r="D233" i="156"/>
  <c r="D234" i="156"/>
  <c r="D236" i="156"/>
  <c r="D235" i="156" s="1"/>
  <c r="D237" i="156"/>
  <c r="D253" i="156"/>
  <c r="D258" i="156"/>
  <c r="D272" i="156" s="1"/>
  <c r="D259" i="156"/>
  <c r="D273" i="156" s="1"/>
  <c r="D260" i="156"/>
  <c r="D274" i="156" s="1"/>
  <c r="D261" i="156"/>
  <c r="D275" i="156" s="1"/>
  <c r="D263" i="156"/>
  <c r="D277" i="156" s="1"/>
  <c r="D264" i="156"/>
  <c r="D278" i="156" s="1"/>
  <c r="D265" i="156"/>
  <c r="D279" i="156" s="1"/>
  <c r="D266" i="156"/>
  <c r="D280" i="156" s="1"/>
  <c r="D286" i="156"/>
  <c r="D287" i="156"/>
  <c r="D300" i="156" s="1"/>
  <c r="D288" i="156"/>
  <c r="D301" i="156" s="1"/>
  <c r="D289" i="156"/>
  <c r="D302" i="156" s="1"/>
  <c r="D291" i="156"/>
  <c r="D304" i="156" s="1"/>
  <c r="D292" i="156"/>
  <c r="D305" i="156" s="1"/>
  <c r="D293" i="156"/>
  <c r="D306" i="156" s="1"/>
  <c r="D294" i="156"/>
  <c r="D307" i="156" s="1"/>
  <c r="D295" i="156"/>
  <c r="D308" i="156" s="1"/>
  <c r="C113" i="37" s="1"/>
  <c r="D309" i="156"/>
  <c r="D313" i="156"/>
  <c r="D314" i="156"/>
  <c r="D328" i="156" s="1"/>
  <c r="D315" i="156"/>
  <c r="D329" i="156" s="1"/>
  <c r="D316" i="156"/>
  <c r="D330" i="156" s="1"/>
  <c r="D318" i="156"/>
  <c r="D319" i="156"/>
  <c r="D333" i="156" s="1"/>
  <c r="D320" i="156"/>
  <c r="D334" i="156" s="1"/>
  <c r="D322" i="156"/>
  <c r="D336" i="156" s="1"/>
  <c r="D323" i="156"/>
  <c r="D337" i="156" s="1"/>
  <c r="D341" i="156"/>
  <c r="D353" i="156" s="1"/>
  <c r="D342" i="156"/>
  <c r="D354" i="156" s="1"/>
  <c r="D343" i="156"/>
  <c r="D355" i="156" s="1"/>
  <c r="D344" i="156"/>
  <c r="D346" i="156"/>
  <c r="D347" i="156"/>
  <c r="D359" i="156" s="1"/>
  <c r="D348" i="156"/>
  <c r="D360" i="156" s="1"/>
  <c r="D349" i="156"/>
  <c r="D361" i="156" s="1"/>
  <c r="D362" i="156"/>
  <c r="D366" i="156"/>
  <c r="D367" i="156"/>
  <c r="D368" i="156"/>
  <c r="D369" i="156"/>
  <c r="D371" i="156"/>
  <c r="D372" i="156"/>
  <c r="D373" i="156"/>
  <c r="D374" i="156"/>
  <c r="D378" i="156"/>
  <c r="D390" i="156" s="1"/>
  <c r="D379" i="156"/>
  <c r="D391" i="156" s="1"/>
  <c r="D380" i="156"/>
  <c r="D392" i="156" s="1"/>
  <c r="D381" i="156"/>
  <c r="D383" i="156"/>
  <c r="D395" i="156" s="1"/>
  <c r="D384" i="156"/>
  <c r="D385" i="156"/>
  <c r="D386" i="156"/>
  <c r="D399" i="156"/>
  <c r="D245" i="156" l="1"/>
  <c r="D398" i="156"/>
  <c r="D396" i="156"/>
  <c r="D393" i="156"/>
  <c r="D249" i="156"/>
  <c r="D248" i="156"/>
  <c r="D251" i="156"/>
  <c r="D252" i="156"/>
  <c r="D44" i="156"/>
  <c r="D30" i="156"/>
  <c r="D243" i="156"/>
  <c r="D130" i="156"/>
  <c r="D24" i="156"/>
  <c r="D170" i="156"/>
  <c r="D41" i="156"/>
  <c r="D10" i="156"/>
  <c r="D20" i="156" s="1"/>
  <c r="D345" i="156"/>
  <c r="D357" i="156" s="1"/>
  <c r="D177" i="156"/>
  <c r="D115" i="156"/>
  <c r="D167" i="156"/>
  <c r="D150" i="156"/>
  <c r="D107" i="156"/>
  <c r="D102" i="156"/>
  <c r="D94" i="156"/>
  <c r="D80" i="156"/>
  <c r="D71" i="156"/>
  <c r="D382" i="156"/>
  <c r="D340" i="156"/>
  <c r="D352" i="156" s="1"/>
  <c r="D147" i="156"/>
  <c r="D290" i="156"/>
  <c r="D303" i="156" s="1"/>
  <c r="D232" i="156"/>
  <c r="D358" i="156"/>
  <c r="D317" i="156"/>
  <c r="D331" i="156" s="1"/>
  <c r="D312" i="156"/>
  <c r="D326" i="156" s="1"/>
  <c r="D223" i="156"/>
  <c r="D201" i="156"/>
  <c r="D180" i="156"/>
  <c r="D160" i="156"/>
  <c r="D138" i="156"/>
  <c r="D89" i="156"/>
  <c r="D62" i="156"/>
  <c r="D54" i="156"/>
  <c r="D370" i="156"/>
  <c r="D365" i="156"/>
  <c r="D285" i="156"/>
  <c r="D298" i="156" s="1"/>
  <c r="D125" i="156"/>
  <c r="D397" i="156"/>
  <c r="D262" i="156"/>
  <c r="D276" i="156" s="1"/>
  <c r="D247" i="156"/>
  <c r="D244" i="156"/>
  <c r="D250" i="156"/>
  <c r="D157" i="156"/>
  <c r="D51" i="156"/>
  <c r="D377" i="156"/>
  <c r="D356" i="156"/>
  <c r="D332" i="156"/>
  <c r="D327" i="156"/>
  <c r="D21" i="156"/>
  <c r="D299" i="156"/>
  <c r="D257" i="156"/>
  <c r="D271" i="156" s="1"/>
  <c r="D242" i="156"/>
  <c r="D394" i="156" l="1"/>
  <c r="D246" i="156"/>
  <c r="D241" i="156"/>
  <c r="D389" i="156"/>
  <c r="I115" i="156" l="1"/>
  <c r="I141" i="156" l="1"/>
  <c r="E30" i="156"/>
  <c r="I33" i="156"/>
  <c r="E33" i="156"/>
  <c r="I30" i="156"/>
  <c r="A1" i="57" l="1"/>
  <c r="A1" i="46"/>
  <c r="I62" i="156" l="1"/>
  <c r="D277" i="157" l="1"/>
  <c r="D195" i="157"/>
  <c r="D167" i="157" l="1"/>
  <c r="D181" i="157" s="1"/>
  <c r="D128" i="157"/>
  <c r="D89" i="157"/>
  <c r="D55" i="157"/>
  <c r="D44" i="157"/>
  <c r="D34" i="157"/>
  <c r="D20" i="157"/>
  <c r="F20" i="157" s="1"/>
  <c r="D112" i="157" l="1"/>
  <c r="C65" i="156"/>
  <c r="C71" i="156"/>
  <c r="C74" i="156"/>
  <c r="G54" i="156" l="1"/>
  <c r="E167" i="156" l="1"/>
  <c r="E170" i="156"/>
  <c r="E250" i="156" l="1"/>
  <c r="I335" i="156" l="1"/>
  <c r="E110" i="157"/>
  <c r="H30" i="46"/>
  <c r="D30" i="46"/>
  <c r="I12" i="46"/>
  <c r="C18" i="46"/>
  <c r="C17" i="46"/>
  <c r="C16" i="46"/>
  <c r="C15" i="46"/>
  <c r="C13" i="46"/>
  <c r="C12" i="46"/>
  <c r="E12" i="46" s="1"/>
  <c r="C11" i="46"/>
  <c r="C10" i="46"/>
  <c r="C109" i="157" l="1"/>
  <c r="I160" i="156" l="1"/>
  <c r="F295" i="156" l="1"/>
  <c r="F308" i="156" s="1"/>
  <c r="E113" i="37" s="1"/>
  <c r="I223" i="156" l="1"/>
  <c r="I164" i="157" l="1"/>
  <c r="B151" i="37" l="1"/>
  <c r="D151" i="37"/>
  <c r="F151" i="37"/>
  <c r="H151" i="37"/>
  <c r="J85" i="156"/>
  <c r="J76" i="156"/>
  <c r="J67" i="156"/>
  <c r="J57" i="156"/>
  <c r="J47" i="156"/>
  <c r="J35" i="156" l="1"/>
  <c r="J15" i="156"/>
  <c r="H30" i="57" l="1"/>
  <c r="H204" i="37" s="1"/>
  <c r="F30" i="57"/>
  <c r="F204" i="37" s="1"/>
  <c r="D30" i="57"/>
  <c r="D204" i="37" s="1"/>
  <c r="B30" i="57"/>
  <c r="B204" i="37" s="1"/>
  <c r="I18" i="57"/>
  <c r="I30" i="57" s="1"/>
  <c r="I204" i="37" s="1"/>
  <c r="C18" i="57"/>
  <c r="E18" i="57" s="1"/>
  <c r="E30" i="57" s="1"/>
  <c r="E204" i="37" s="1"/>
  <c r="H60" i="37"/>
  <c r="F30" i="46"/>
  <c r="F60" i="37" s="1"/>
  <c r="D60" i="37"/>
  <c r="B30" i="46"/>
  <c r="B60" i="37" s="1"/>
  <c r="I18" i="46"/>
  <c r="I30" i="46" s="1"/>
  <c r="I60" i="37" s="1"/>
  <c r="E18" i="46"/>
  <c r="E30" i="46" s="1"/>
  <c r="E60" i="37" s="1"/>
  <c r="C30" i="57" l="1"/>
  <c r="C204" i="37" s="1"/>
  <c r="C30" i="46"/>
  <c r="C60" i="37" s="1"/>
  <c r="G30" i="57"/>
  <c r="G204" i="37" s="1"/>
  <c r="G30" i="46"/>
  <c r="G60" i="37" s="1"/>
  <c r="I368" i="157"/>
  <c r="H228" i="37" s="1"/>
  <c r="G368" i="157"/>
  <c r="F228" i="37" s="1"/>
  <c r="E368" i="157"/>
  <c r="D228" i="37" s="1"/>
  <c r="C368" i="157"/>
  <c r="B228" i="37" s="1"/>
  <c r="J356" i="157"/>
  <c r="D356" i="157"/>
  <c r="F356" i="157" s="1"/>
  <c r="F368" i="157" s="1"/>
  <c r="E228" i="37" s="1"/>
  <c r="I343" i="157"/>
  <c r="H216" i="37" s="1"/>
  <c r="G343" i="157"/>
  <c r="F216" i="37" s="1"/>
  <c r="E343" i="157"/>
  <c r="D216" i="37" s="1"/>
  <c r="C343" i="157"/>
  <c r="B216" i="37" s="1"/>
  <c r="J331" i="157"/>
  <c r="J343" i="157" s="1"/>
  <c r="I216" i="37" s="1"/>
  <c r="D331" i="157"/>
  <c r="D343" i="157" s="1"/>
  <c r="C216" i="37" s="1"/>
  <c r="I317" i="157"/>
  <c r="H191" i="37" s="1"/>
  <c r="G317" i="157"/>
  <c r="F191" i="37" s="1"/>
  <c r="E317" i="157"/>
  <c r="D191" i="37" s="1"/>
  <c r="C317" i="157"/>
  <c r="B191" i="37" s="1"/>
  <c r="J304" i="157"/>
  <c r="J317" i="157" s="1"/>
  <c r="I191" i="37" s="1"/>
  <c r="D304" i="157"/>
  <c r="F304" i="157" s="1"/>
  <c r="F317" i="157" s="1"/>
  <c r="E191" i="37" s="1"/>
  <c r="I291" i="157"/>
  <c r="H179" i="37" s="1"/>
  <c r="G291" i="157"/>
  <c r="F179" i="37" s="1"/>
  <c r="E291" i="157"/>
  <c r="D179" i="37" s="1"/>
  <c r="C291" i="157"/>
  <c r="B179" i="37" s="1"/>
  <c r="I290" i="157"/>
  <c r="H178" i="37" s="1"/>
  <c r="G290" i="157"/>
  <c r="F178" i="37" s="1"/>
  <c r="E290" i="157"/>
  <c r="D178" i="37" s="1"/>
  <c r="C290" i="157"/>
  <c r="B178" i="37" s="1"/>
  <c r="I289" i="157"/>
  <c r="H177" i="37" s="1"/>
  <c r="G289" i="157"/>
  <c r="F177" i="37" s="1"/>
  <c r="E289" i="157"/>
  <c r="D177" i="37" s="1"/>
  <c r="C289" i="157"/>
  <c r="B177" i="37" s="1"/>
  <c r="J291" i="157"/>
  <c r="I179" i="37" s="1"/>
  <c r="F291" i="157"/>
  <c r="E179" i="37" s="1"/>
  <c r="D276" i="157"/>
  <c r="F276" i="157" s="1"/>
  <c r="F290" i="157" s="1"/>
  <c r="E178" i="37" s="1"/>
  <c r="J275" i="157"/>
  <c r="J289" i="157" s="1"/>
  <c r="I177" i="37" s="1"/>
  <c r="D275" i="157"/>
  <c r="F275" i="157" s="1"/>
  <c r="F289" i="157" s="1"/>
  <c r="E177" i="37" s="1"/>
  <c r="I262" i="157"/>
  <c r="H165" i="37" s="1"/>
  <c r="G262" i="157"/>
  <c r="F165" i="37" s="1"/>
  <c r="E262" i="157"/>
  <c r="D165" i="37" s="1"/>
  <c r="I261" i="157"/>
  <c r="H164" i="37" s="1"/>
  <c r="G261" i="157"/>
  <c r="F164" i="37" s="1"/>
  <c r="E261" i="157"/>
  <c r="D164" i="37" s="1"/>
  <c r="I260" i="157"/>
  <c r="H163" i="37" s="1"/>
  <c r="G260" i="157"/>
  <c r="F163" i="37" s="1"/>
  <c r="E260" i="157"/>
  <c r="D163" i="37" s="1"/>
  <c r="C262" i="157"/>
  <c r="B165" i="37" s="1"/>
  <c r="C261" i="157"/>
  <c r="B164" i="37" s="1"/>
  <c r="C260" i="157"/>
  <c r="B163" i="37" s="1"/>
  <c r="J262" i="157"/>
  <c r="I165" i="37" s="1"/>
  <c r="D248" i="157"/>
  <c r="F262" i="157" s="1"/>
  <c r="E165" i="37" s="1"/>
  <c r="D247" i="157"/>
  <c r="F247" i="157" s="1"/>
  <c r="F261" i="157" s="1"/>
  <c r="E164" i="37" s="1"/>
  <c r="J246" i="157"/>
  <c r="J260" i="157" s="1"/>
  <c r="I163" i="37" s="1"/>
  <c r="D246" i="157"/>
  <c r="F246" i="157" s="1"/>
  <c r="F260" i="157" s="1"/>
  <c r="E163" i="37" s="1"/>
  <c r="J290" i="157" l="1"/>
  <c r="I178" i="37" s="1"/>
  <c r="J261" i="157"/>
  <c r="I164" i="37" s="1"/>
  <c r="D368" i="157"/>
  <c r="C228" i="37" s="1"/>
  <c r="F331" i="157"/>
  <c r="F343" i="157" s="1"/>
  <c r="E216" i="37" s="1"/>
  <c r="D317" i="157"/>
  <c r="C191" i="37" s="1"/>
  <c r="H368" i="157"/>
  <c r="H343" i="157"/>
  <c r="H317" i="157"/>
  <c r="D290" i="157"/>
  <c r="C178" i="37" s="1"/>
  <c r="H289" i="157"/>
  <c r="H291" i="157"/>
  <c r="D289" i="157"/>
  <c r="C177" i="37" s="1"/>
  <c r="D291" i="157"/>
  <c r="C179" i="37" s="1"/>
  <c r="H290" i="157"/>
  <c r="D261" i="157"/>
  <c r="C164" i="37" s="1"/>
  <c r="H261" i="157"/>
  <c r="D262" i="157"/>
  <c r="C165" i="37" s="1"/>
  <c r="H262" i="157"/>
  <c r="D260" i="157"/>
  <c r="C163" i="37" s="1"/>
  <c r="H260" i="157"/>
  <c r="G165" i="37" l="1"/>
  <c r="G179" i="37"/>
  <c r="G228" i="37"/>
  <c r="G216" i="37"/>
  <c r="G191" i="37"/>
  <c r="G178" i="37"/>
  <c r="G177" i="37"/>
  <c r="G164" i="37"/>
  <c r="G163" i="37"/>
  <c r="J368" i="157"/>
  <c r="I228" i="37" s="1"/>
  <c r="I233" i="157"/>
  <c r="H125" i="37" s="1"/>
  <c r="G233" i="157"/>
  <c r="F125" i="37" s="1"/>
  <c r="E233" i="157"/>
  <c r="D125" i="37" s="1"/>
  <c r="C233" i="157"/>
  <c r="B125" i="37" s="1"/>
  <c r="J221" i="157"/>
  <c r="J233" i="157" s="1"/>
  <c r="I125" i="37" s="1"/>
  <c r="D221" i="157"/>
  <c r="F221" i="157" s="1"/>
  <c r="F233" i="157" s="1"/>
  <c r="E125" i="37" s="1"/>
  <c r="I208" i="157"/>
  <c r="H100" i="37" s="1"/>
  <c r="G208" i="157"/>
  <c r="F100" i="37" s="1"/>
  <c r="E208" i="157"/>
  <c r="D100" i="37" s="1"/>
  <c r="I207" i="157"/>
  <c r="H99" i="37" s="1"/>
  <c r="G207" i="157"/>
  <c r="F99" i="37" s="1"/>
  <c r="E207" i="157"/>
  <c r="D99" i="37" s="1"/>
  <c r="C208" i="157"/>
  <c r="B100" i="37" s="1"/>
  <c r="C207" i="157"/>
  <c r="B99" i="37" s="1"/>
  <c r="F195" i="157"/>
  <c r="F208" i="157" s="1"/>
  <c r="E100" i="37" s="1"/>
  <c r="J194" i="157"/>
  <c r="J207" i="157" s="1"/>
  <c r="I99" i="37" s="1"/>
  <c r="D194" i="157"/>
  <c r="D207" i="157" s="1"/>
  <c r="C99" i="37" s="1"/>
  <c r="E87" i="37"/>
  <c r="H87" i="37"/>
  <c r="F87" i="37"/>
  <c r="D87" i="37"/>
  <c r="I180" i="157"/>
  <c r="G180" i="157"/>
  <c r="F86" i="37" s="1"/>
  <c r="E180" i="157"/>
  <c r="D86" i="37" s="1"/>
  <c r="B87" i="37"/>
  <c r="C180" i="157"/>
  <c r="B86" i="37" s="1"/>
  <c r="I179" i="157"/>
  <c r="H85" i="37" s="1"/>
  <c r="G179" i="157"/>
  <c r="F85" i="37" s="1"/>
  <c r="E179" i="157"/>
  <c r="D85" i="37" s="1"/>
  <c r="C179" i="157"/>
  <c r="B85" i="37" s="1"/>
  <c r="F167" i="157"/>
  <c r="J166" i="157"/>
  <c r="D166" i="157"/>
  <c r="F166" i="157" s="1"/>
  <c r="D156" i="157"/>
  <c r="F156" i="157" s="1"/>
  <c r="F180" i="157" s="1"/>
  <c r="E86" i="37" s="1"/>
  <c r="J155" i="157"/>
  <c r="D155" i="157"/>
  <c r="F155" i="157" s="1"/>
  <c r="F179" i="157" s="1"/>
  <c r="E85" i="37" s="1"/>
  <c r="H34" i="37"/>
  <c r="F34" i="37"/>
  <c r="D34" i="37"/>
  <c r="I111" i="157"/>
  <c r="G111" i="157"/>
  <c r="F33" i="37" s="1"/>
  <c r="E111" i="157"/>
  <c r="D33" i="37" s="1"/>
  <c r="I110" i="157"/>
  <c r="H32" i="37" s="1"/>
  <c r="G110" i="157"/>
  <c r="F32" i="37" s="1"/>
  <c r="D32" i="37"/>
  <c r="I142" i="157"/>
  <c r="H48" i="37" s="1"/>
  <c r="G142" i="157"/>
  <c r="F48" i="37" s="1"/>
  <c r="E142" i="157"/>
  <c r="D48" i="37" s="1"/>
  <c r="I141" i="157"/>
  <c r="H47" i="37" s="1"/>
  <c r="G141" i="157"/>
  <c r="F47" i="37" s="1"/>
  <c r="I140" i="157"/>
  <c r="H46" i="37" s="1"/>
  <c r="G140" i="157"/>
  <c r="F46" i="37" s="1"/>
  <c r="E140" i="157"/>
  <c r="D46" i="37" s="1"/>
  <c r="C142" i="157"/>
  <c r="B48" i="37" s="1"/>
  <c r="C141" i="157"/>
  <c r="B47" i="37" s="1"/>
  <c r="C140" i="157"/>
  <c r="B46" i="37" s="1"/>
  <c r="F128" i="157"/>
  <c r="F142" i="157" s="1"/>
  <c r="E48" i="37" s="1"/>
  <c r="J141" i="157"/>
  <c r="I47" i="37" s="1"/>
  <c r="D127" i="157"/>
  <c r="J126" i="157"/>
  <c r="J140" i="157" s="1"/>
  <c r="I46" i="37" s="1"/>
  <c r="D126" i="157"/>
  <c r="F126" i="157" s="1"/>
  <c r="F140" i="157" s="1"/>
  <c r="E46" i="37" s="1"/>
  <c r="C110" i="157"/>
  <c r="B32" i="37" s="1"/>
  <c r="C111" i="157"/>
  <c r="B33" i="37" s="1"/>
  <c r="B34" i="37"/>
  <c r="J98" i="157"/>
  <c r="D98" i="157"/>
  <c r="F98" i="157" s="1"/>
  <c r="F89" i="157"/>
  <c r="J88" i="157"/>
  <c r="D88" i="157"/>
  <c r="F88" i="157" s="1"/>
  <c r="D66" i="157"/>
  <c r="F66" i="157" s="1"/>
  <c r="J65" i="157"/>
  <c r="D65" i="157"/>
  <c r="F65" i="157" s="1"/>
  <c r="J76" i="157"/>
  <c r="D76" i="157"/>
  <c r="F76" i="157" s="1"/>
  <c r="F55" i="157"/>
  <c r="D54" i="157"/>
  <c r="F54" i="157" s="1"/>
  <c r="J53" i="157"/>
  <c r="D53" i="157"/>
  <c r="F53" i="157" s="1"/>
  <c r="F44" i="157"/>
  <c r="J43" i="157"/>
  <c r="D43" i="157"/>
  <c r="F43" i="157" s="1"/>
  <c r="F34" i="157"/>
  <c r="J33" i="157"/>
  <c r="D33" i="157"/>
  <c r="F33" i="157" s="1"/>
  <c r="J19" i="157"/>
  <c r="D19" i="157"/>
  <c r="F19" i="157" s="1"/>
  <c r="I398" i="156"/>
  <c r="H240" i="37" s="1"/>
  <c r="G398" i="156"/>
  <c r="F240" i="37" s="1"/>
  <c r="E398" i="156"/>
  <c r="D240" i="37" s="1"/>
  <c r="C398" i="156"/>
  <c r="B240" i="37" s="1"/>
  <c r="J386" i="156"/>
  <c r="F386" i="156"/>
  <c r="J374" i="156"/>
  <c r="F374" i="156"/>
  <c r="J208" i="157" l="1"/>
  <c r="I100" i="37" s="1"/>
  <c r="H181" i="157"/>
  <c r="J142" i="157"/>
  <c r="I48" i="37" s="1"/>
  <c r="H112" i="157"/>
  <c r="G34" i="37" s="1"/>
  <c r="D233" i="157"/>
  <c r="C125" i="37" s="1"/>
  <c r="H233" i="157"/>
  <c r="H398" i="156"/>
  <c r="F194" i="157"/>
  <c r="F207" i="157" s="1"/>
  <c r="E99" i="37" s="1"/>
  <c r="H208" i="157"/>
  <c r="D180" i="157"/>
  <c r="C86" i="37" s="1"/>
  <c r="D208" i="157"/>
  <c r="C100" i="37" s="1"/>
  <c r="I87" i="37"/>
  <c r="H207" i="157"/>
  <c r="H179" i="157"/>
  <c r="D179" i="157"/>
  <c r="C85" i="37" s="1"/>
  <c r="C87" i="37"/>
  <c r="H86" i="37"/>
  <c r="H180" i="157"/>
  <c r="H142" i="157"/>
  <c r="D142" i="157"/>
  <c r="C48" i="37" s="1"/>
  <c r="H111" i="157"/>
  <c r="D111" i="157"/>
  <c r="C33" i="37" s="1"/>
  <c r="H140" i="157"/>
  <c r="D140" i="157"/>
  <c r="C46" i="37" s="1"/>
  <c r="H141" i="157"/>
  <c r="H110" i="157"/>
  <c r="H33" i="37"/>
  <c r="D141" i="157"/>
  <c r="C47" i="37" s="1"/>
  <c r="D110" i="157"/>
  <c r="C32" i="37" s="1"/>
  <c r="J398" i="156" l="1"/>
  <c r="I240" i="37" s="1"/>
  <c r="G125" i="37"/>
  <c r="G100" i="37"/>
  <c r="G99" i="37"/>
  <c r="G86" i="37"/>
  <c r="G85" i="37"/>
  <c r="G48" i="37"/>
  <c r="G47" i="37"/>
  <c r="G46" i="37"/>
  <c r="G33" i="37"/>
  <c r="J112" i="157"/>
  <c r="I34" i="37" s="1"/>
  <c r="G32" i="37"/>
  <c r="G240" i="37"/>
  <c r="F398" i="156"/>
  <c r="E240" i="37" s="1"/>
  <c r="C240" i="37"/>
  <c r="J179" i="157"/>
  <c r="I85" i="37" s="1"/>
  <c r="G87" i="37"/>
  <c r="F111" i="157"/>
  <c r="E33" i="37" s="1"/>
  <c r="I33" i="37"/>
  <c r="I86" i="37"/>
  <c r="F112" i="157"/>
  <c r="E34" i="37" s="1"/>
  <c r="C34" i="37"/>
  <c r="J110" i="157"/>
  <c r="I32" i="37" s="1"/>
  <c r="F110" i="157"/>
  <c r="E32" i="37" s="1"/>
  <c r="I361" i="156" l="1"/>
  <c r="G361" i="156"/>
  <c r="E361" i="156"/>
  <c r="C361" i="156"/>
  <c r="I337" i="156"/>
  <c r="H139" i="37" s="1"/>
  <c r="G337" i="156"/>
  <c r="F139" i="37" s="1"/>
  <c r="E337" i="156"/>
  <c r="D139" i="37" s="1"/>
  <c r="C337" i="156"/>
  <c r="B139" i="37" s="1"/>
  <c r="I336" i="156"/>
  <c r="H138" i="37" s="1"/>
  <c r="G336" i="156"/>
  <c r="F138" i="37" s="1"/>
  <c r="E336" i="156"/>
  <c r="D138" i="37" s="1"/>
  <c r="C336" i="156"/>
  <c r="B138" i="37" s="1"/>
  <c r="H137" i="37"/>
  <c r="G335" i="156"/>
  <c r="F137" i="37" s="1"/>
  <c r="E335" i="156"/>
  <c r="D137" i="37" s="1"/>
  <c r="C335" i="156"/>
  <c r="B137" i="37" s="1"/>
  <c r="J337" i="156"/>
  <c r="I139" i="37" s="1"/>
  <c r="F323" i="156"/>
  <c r="F337" i="156" s="1"/>
  <c r="E139" i="37" s="1"/>
  <c r="J336" i="156"/>
  <c r="I138" i="37" s="1"/>
  <c r="F322" i="156"/>
  <c r="F336" i="156" s="1"/>
  <c r="E138" i="37" s="1"/>
  <c r="J321" i="156"/>
  <c r="J335" i="156" s="1"/>
  <c r="I137" i="37" s="1"/>
  <c r="F321" i="156"/>
  <c r="F335" i="156" s="1"/>
  <c r="E137" i="37" s="1"/>
  <c r="I307" i="156"/>
  <c r="H112" i="37" s="1"/>
  <c r="G307" i="156"/>
  <c r="F112" i="37" s="1"/>
  <c r="E307" i="156"/>
  <c r="D112" i="37" s="1"/>
  <c r="C307" i="156"/>
  <c r="B112" i="37" s="1"/>
  <c r="J294" i="156"/>
  <c r="J307" i="156" s="1"/>
  <c r="I112" i="37" s="1"/>
  <c r="F294" i="156"/>
  <c r="F307" i="156" s="1"/>
  <c r="E112" i="37" s="1"/>
  <c r="I280" i="156"/>
  <c r="H72" i="37" s="1"/>
  <c r="G280" i="156"/>
  <c r="F72" i="37" s="1"/>
  <c r="E280" i="156"/>
  <c r="D72" i="37" s="1"/>
  <c r="C280" i="156"/>
  <c r="B72" i="37" s="1"/>
  <c r="J266" i="156"/>
  <c r="J280" i="156" s="1"/>
  <c r="I72" i="37" s="1"/>
  <c r="F266" i="156"/>
  <c r="F280" i="156" s="1"/>
  <c r="E72" i="37" s="1"/>
  <c r="I252" i="156"/>
  <c r="G252" i="156"/>
  <c r="F19" i="37" s="1"/>
  <c r="E252" i="156"/>
  <c r="D19" i="37" s="1"/>
  <c r="I251" i="156"/>
  <c r="G251" i="156"/>
  <c r="F18" i="37" s="1"/>
  <c r="E251" i="156"/>
  <c r="D18" i="37" s="1"/>
  <c r="C251" i="156"/>
  <c r="B18" i="37" s="1"/>
  <c r="I250" i="156"/>
  <c r="H17" i="37" s="1"/>
  <c r="G250" i="156"/>
  <c r="F17" i="37" s="1"/>
  <c r="D17" i="37"/>
  <c r="C252" i="156"/>
  <c r="B19" i="37" s="1"/>
  <c r="C250" i="156"/>
  <c r="B17" i="37" s="1"/>
  <c r="J237" i="156"/>
  <c r="F237" i="156"/>
  <c r="J228" i="156"/>
  <c r="F228" i="156"/>
  <c r="J206" i="156"/>
  <c r="F206" i="156"/>
  <c r="F197" i="156"/>
  <c r="J196" i="156"/>
  <c r="F196" i="156"/>
  <c r="J183" i="156"/>
  <c r="F183" i="156"/>
  <c r="J173" i="156"/>
  <c r="F173" i="156"/>
  <c r="J163" i="156"/>
  <c r="F163" i="156"/>
  <c r="J153" i="156"/>
  <c r="F153" i="156"/>
  <c r="J143" i="156"/>
  <c r="F143" i="156"/>
  <c r="J134" i="156"/>
  <c r="F134" i="156"/>
  <c r="J111" i="156"/>
  <c r="F111" i="156"/>
  <c r="J120" i="156"/>
  <c r="F120" i="156"/>
  <c r="F121" i="156"/>
  <c r="J98" i="156"/>
  <c r="F98" i="156"/>
  <c r="F85" i="156"/>
  <c r="F76" i="156"/>
  <c r="F67" i="156"/>
  <c r="F37" i="156"/>
  <c r="F57" i="156"/>
  <c r="F47" i="156"/>
  <c r="J25" i="156"/>
  <c r="I248" i="37" s="1"/>
  <c r="I25" i="156"/>
  <c r="H248" i="37" s="1"/>
  <c r="H25" i="156"/>
  <c r="G248" i="37" s="1"/>
  <c r="G25" i="156"/>
  <c r="F248" i="37" s="1"/>
  <c r="E25" i="156"/>
  <c r="D248" i="37" s="1"/>
  <c r="C25" i="156"/>
  <c r="B248" i="37" s="1"/>
  <c r="F35" i="156"/>
  <c r="F15" i="156"/>
  <c r="F25" i="156" s="1"/>
  <c r="E248" i="37" s="1"/>
  <c r="B262" i="37" l="1"/>
  <c r="F260" i="37"/>
  <c r="F261" i="37"/>
  <c r="F262" i="37"/>
  <c r="D260" i="37"/>
  <c r="B260" i="37"/>
  <c r="D262" i="37"/>
  <c r="H260" i="37"/>
  <c r="J349" i="156"/>
  <c r="I151" i="37" s="1"/>
  <c r="G151" i="37"/>
  <c r="F349" i="156"/>
  <c r="F361" i="156" s="1"/>
  <c r="C151" i="37"/>
  <c r="C18" i="37"/>
  <c r="F36" i="156"/>
  <c r="B261" i="37"/>
  <c r="H251" i="156"/>
  <c r="J251" i="156" s="1"/>
  <c r="C137" i="37"/>
  <c r="H335" i="156"/>
  <c r="C112" i="37"/>
  <c r="H307" i="156"/>
  <c r="H361" i="156"/>
  <c r="C138" i="37"/>
  <c r="H336" i="156"/>
  <c r="C139" i="37"/>
  <c r="H337" i="156"/>
  <c r="H280" i="156"/>
  <c r="C72" i="37"/>
  <c r="H18" i="37"/>
  <c r="H261" i="37" s="1"/>
  <c r="H19" i="37"/>
  <c r="H262" i="37" s="1"/>
  <c r="H252" i="156"/>
  <c r="J252" i="156" s="1"/>
  <c r="H250" i="156"/>
  <c r="C248" i="37"/>
  <c r="G112" i="37" l="1"/>
  <c r="G18" i="37"/>
  <c r="G19" i="37"/>
  <c r="G72" i="37"/>
  <c r="G137" i="37"/>
  <c r="G138" i="37"/>
  <c r="G261" i="37" s="1"/>
  <c r="I261" i="37" s="1"/>
  <c r="G139" i="37"/>
  <c r="G262" i="37" s="1"/>
  <c r="F251" i="156"/>
  <c r="E18" i="37" s="1"/>
  <c r="C261" i="37"/>
  <c r="J361" i="156"/>
  <c r="I18" i="37"/>
  <c r="E151" i="37"/>
  <c r="F252" i="156"/>
  <c r="E19" i="37" s="1"/>
  <c r="C19" i="37"/>
  <c r="F250" i="156"/>
  <c r="E17" i="37" s="1"/>
  <c r="C17" i="37"/>
  <c r="I19" i="37"/>
  <c r="J250" i="156"/>
  <c r="I17" i="37" s="1"/>
  <c r="G17" i="37"/>
  <c r="G260" i="37" l="1"/>
  <c r="C260" i="37"/>
  <c r="C262" i="37"/>
  <c r="E262" i="37" l="1"/>
  <c r="E260" i="37"/>
  <c r="I260" i="37"/>
  <c r="J87" i="157"/>
  <c r="E80" i="157" l="1"/>
  <c r="G80" i="157"/>
  <c r="C80" i="157"/>
  <c r="D87" i="157"/>
  <c r="F87" i="157" l="1"/>
  <c r="G109" i="157"/>
  <c r="I109" i="157"/>
  <c r="E109" i="157"/>
  <c r="E217" i="157"/>
  <c r="E62" i="157"/>
  <c r="I13" i="156" l="1"/>
  <c r="E10" i="156" l="1"/>
  <c r="I395" i="156"/>
  <c r="I397" i="156"/>
  <c r="I65" i="156"/>
  <c r="I247" i="156"/>
  <c r="G118" i="156" l="1"/>
  <c r="E180" i="156" l="1"/>
  <c r="E138" i="156"/>
  <c r="E115" i="156" l="1"/>
  <c r="I83" i="156"/>
  <c r="E80" i="156"/>
  <c r="E71" i="156" l="1"/>
  <c r="E62" i="156"/>
  <c r="C395" i="156" l="1"/>
  <c r="E395" i="156"/>
  <c r="C396" i="156"/>
  <c r="E396" i="156"/>
  <c r="C397" i="156"/>
  <c r="E397" i="156"/>
  <c r="C327" i="157" l="1"/>
  <c r="C300" i="157"/>
  <c r="C271" i="157"/>
  <c r="C242" i="157"/>
  <c r="C217" i="157"/>
  <c r="C190" i="157"/>
  <c r="C151" i="157"/>
  <c r="C122" i="157"/>
  <c r="C107" i="157"/>
  <c r="C96" i="157"/>
  <c r="C84" i="157"/>
  <c r="C74" i="157"/>
  <c r="C62" i="157"/>
  <c r="C51" i="157"/>
  <c r="C41" i="157"/>
  <c r="C29" i="157"/>
  <c r="C15" i="157"/>
  <c r="B14" i="46"/>
  <c r="B14" i="57"/>
  <c r="C38" i="157" l="1"/>
  <c r="G397" i="156" l="1"/>
  <c r="F239" i="37" s="1"/>
  <c r="G396" i="156"/>
  <c r="F238" i="37" s="1"/>
  <c r="G395" i="156"/>
  <c r="F237" i="37" s="1"/>
  <c r="G382" i="156"/>
  <c r="G370" i="156"/>
  <c r="G345" i="156"/>
  <c r="G317" i="156"/>
  <c r="C290" i="156"/>
  <c r="C262" i="156"/>
  <c r="G235" i="156"/>
  <c r="G226" i="156"/>
  <c r="C204" i="156"/>
  <c r="G180" i="156"/>
  <c r="G170" i="156"/>
  <c r="G160" i="156"/>
  <c r="G150" i="156"/>
  <c r="C150" i="156"/>
  <c r="C141" i="156"/>
  <c r="C130" i="156"/>
  <c r="C118" i="156"/>
  <c r="G107" i="156"/>
  <c r="C94" i="156"/>
  <c r="C83" i="156"/>
  <c r="E54" i="156"/>
  <c r="C54" i="156"/>
  <c r="C44" i="156"/>
  <c r="G24" i="156"/>
  <c r="F247" i="37" s="1"/>
  <c r="D237" i="37"/>
  <c r="D238" i="37"/>
  <c r="D239" i="37"/>
  <c r="E41" i="37"/>
  <c r="B22" i="57"/>
  <c r="B196" i="37" s="1"/>
  <c r="D22" i="57"/>
  <c r="D196" i="37" s="1"/>
  <c r="B23" i="57"/>
  <c r="B197" i="37" s="1"/>
  <c r="D23" i="57"/>
  <c r="D197" i="37" s="1"/>
  <c r="B24" i="57"/>
  <c r="B198" i="37" s="1"/>
  <c r="D24" i="57"/>
  <c r="D198" i="37" s="1"/>
  <c r="B25" i="57"/>
  <c r="B199" i="37" s="1"/>
  <c r="D25" i="57"/>
  <c r="D199" i="37" s="1"/>
  <c r="B27" i="57"/>
  <c r="B201" i="37" s="1"/>
  <c r="D27" i="57"/>
  <c r="D201" i="37" s="1"/>
  <c r="B28" i="57"/>
  <c r="B202" i="37" s="1"/>
  <c r="D28" i="57"/>
  <c r="D202" i="37" s="1"/>
  <c r="B29" i="57"/>
  <c r="B203" i="37" s="1"/>
  <c r="D29" i="57"/>
  <c r="D203" i="37" s="1"/>
  <c r="H22" i="57"/>
  <c r="H196" i="37" s="1"/>
  <c r="H23" i="57"/>
  <c r="H197" i="37" s="1"/>
  <c r="H24" i="57"/>
  <c r="H198" i="37" s="1"/>
  <c r="H25" i="57"/>
  <c r="H199" i="37" s="1"/>
  <c r="H27" i="57"/>
  <c r="H201" i="37" s="1"/>
  <c r="H28" i="57"/>
  <c r="H202" i="37" s="1"/>
  <c r="H29" i="57"/>
  <c r="H203" i="37" s="1"/>
  <c r="F27" i="57"/>
  <c r="F201" i="37" s="1"/>
  <c r="F28" i="57"/>
  <c r="F202" i="37" s="1"/>
  <c r="F29" i="57"/>
  <c r="F203" i="37" s="1"/>
  <c r="D14" i="57"/>
  <c r="D26" i="57" s="1"/>
  <c r="D200" i="37" s="1"/>
  <c r="F14" i="57"/>
  <c r="H14" i="57"/>
  <c r="G25" i="57"/>
  <c r="G199" i="37" s="1"/>
  <c r="I15" i="57"/>
  <c r="I27" i="57" s="1"/>
  <c r="I201" i="37" s="1"/>
  <c r="I16" i="57"/>
  <c r="I28" i="57" s="1"/>
  <c r="I202" i="37" s="1"/>
  <c r="G29" i="57"/>
  <c r="G203" i="37" s="1"/>
  <c r="C13" i="57"/>
  <c r="C25" i="57" s="1"/>
  <c r="C199" i="37" s="1"/>
  <c r="C27" i="57"/>
  <c r="C201" i="37" s="1"/>
  <c r="E16" i="57"/>
  <c r="E28" i="57" s="1"/>
  <c r="E202" i="37" s="1"/>
  <c r="C29" i="57"/>
  <c r="C203" i="37" s="1"/>
  <c r="B26" i="57"/>
  <c r="B200" i="37" s="1"/>
  <c r="B22" i="46"/>
  <c r="B52" i="37" s="1"/>
  <c r="D22" i="46"/>
  <c r="D52" i="37" s="1"/>
  <c r="B23" i="46"/>
  <c r="B53" i="37" s="1"/>
  <c r="D23" i="46"/>
  <c r="D53" i="37" s="1"/>
  <c r="B24" i="46"/>
  <c r="B54" i="37" s="1"/>
  <c r="D24" i="46"/>
  <c r="D54" i="37" s="1"/>
  <c r="B25" i="46"/>
  <c r="B55" i="37" s="1"/>
  <c r="D25" i="46"/>
  <c r="D55" i="37" s="1"/>
  <c r="B27" i="46"/>
  <c r="B57" i="37" s="1"/>
  <c r="D27" i="46"/>
  <c r="D57" i="37" s="1"/>
  <c r="B28" i="46"/>
  <c r="B58" i="37" s="1"/>
  <c r="D28" i="46"/>
  <c r="D58" i="37" s="1"/>
  <c r="B29" i="46"/>
  <c r="B59" i="37" s="1"/>
  <c r="D29" i="46"/>
  <c r="D59" i="37" s="1"/>
  <c r="H22" i="46"/>
  <c r="H52" i="37" s="1"/>
  <c r="H23" i="46"/>
  <c r="H53" i="37" s="1"/>
  <c r="H24" i="46"/>
  <c r="H54" i="37" s="1"/>
  <c r="H25" i="46"/>
  <c r="H55" i="37" s="1"/>
  <c r="H27" i="46"/>
  <c r="H57" i="37" s="1"/>
  <c r="H28" i="46"/>
  <c r="H58" i="37" s="1"/>
  <c r="H29" i="46"/>
  <c r="H59" i="37" s="1"/>
  <c r="F27" i="46"/>
  <c r="F57" i="37" s="1"/>
  <c r="F28" i="46"/>
  <c r="F58" i="37" s="1"/>
  <c r="F29" i="46"/>
  <c r="F59" i="37" s="1"/>
  <c r="D14" i="46"/>
  <c r="D26" i="46" s="1"/>
  <c r="D56" i="37" s="1"/>
  <c r="F14" i="46"/>
  <c r="H14" i="46"/>
  <c r="H26" i="46" s="1"/>
  <c r="H56" i="37" s="1"/>
  <c r="B26" i="46"/>
  <c r="B56" i="37" s="1"/>
  <c r="G25" i="46"/>
  <c r="G55" i="37" s="1"/>
  <c r="I15" i="46"/>
  <c r="I27" i="46" s="1"/>
  <c r="I57" i="37" s="1"/>
  <c r="I16" i="46"/>
  <c r="I28" i="46" s="1"/>
  <c r="I58" i="37" s="1"/>
  <c r="I17" i="46"/>
  <c r="I29" i="46" s="1"/>
  <c r="I59" i="37" s="1"/>
  <c r="C25" i="46"/>
  <c r="C55" i="37" s="1"/>
  <c r="E15" i="46"/>
  <c r="E27" i="46" s="1"/>
  <c r="E57" i="37" s="1"/>
  <c r="C28" i="46"/>
  <c r="C58" i="37" s="1"/>
  <c r="C29" i="46"/>
  <c r="C59" i="37" s="1"/>
  <c r="C360" i="157"/>
  <c r="B220" i="37" s="1"/>
  <c r="E360" i="157"/>
  <c r="D220" i="37" s="1"/>
  <c r="C361" i="157"/>
  <c r="B221" i="37" s="1"/>
  <c r="E361" i="157"/>
  <c r="D221" i="37" s="1"/>
  <c r="C362" i="157"/>
  <c r="B222" i="37" s="1"/>
  <c r="E362" i="157"/>
  <c r="D222" i="37" s="1"/>
  <c r="C363" i="157"/>
  <c r="B223" i="37" s="1"/>
  <c r="E363" i="157"/>
  <c r="D223" i="37" s="1"/>
  <c r="C365" i="157"/>
  <c r="B225" i="37" s="1"/>
  <c r="E365" i="157"/>
  <c r="D225" i="37" s="1"/>
  <c r="C366" i="157"/>
  <c r="B226" i="37" s="1"/>
  <c r="E366" i="157"/>
  <c r="D226" i="37" s="1"/>
  <c r="C367" i="157"/>
  <c r="B227" i="37" s="1"/>
  <c r="E367" i="157"/>
  <c r="D227" i="37" s="1"/>
  <c r="I360" i="157"/>
  <c r="I361" i="157"/>
  <c r="I362" i="157"/>
  <c r="H222" i="37" s="1"/>
  <c r="I222" i="37"/>
  <c r="I363" i="157"/>
  <c r="H223" i="37" s="1"/>
  <c r="I223" i="37"/>
  <c r="I365" i="157"/>
  <c r="I366" i="157"/>
  <c r="I367" i="157"/>
  <c r="G365" i="157"/>
  <c r="F225" i="37" s="1"/>
  <c r="G366" i="157"/>
  <c r="F226" i="37" s="1"/>
  <c r="G367" i="157"/>
  <c r="F227" i="37" s="1"/>
  <c r="G352" i="157"/>
  <c r="E352" i="157"/>
  <c r="I352" i="157"/>
  <c r="J351" i="157"/>
  <c r="D350" i="157"/>
  <c r="F362" i="157" s="1"/>
  <c r="E222" i="37" s="1"/>
  <c r="D351" i="157"/>
  <c r="D353" i="157"/>
  <c r="D365" i="157" s="1"/>
  <c r="C225" i="37" s="1"/>
  <c r="D354" i="157"/>
  <c r="F354" i="157" s="1"/>
  <c r="F366" i="157" s="1"/>
  <c r="E226" i="37" s="1"/>
  <c r="D355" i="157"/>
  <c r="F355" i="157" s="1"/>
  <c r="F367" i="157" s="1"/>
  <c r="E227" i="37" s="1"/>
  <c r="C352" i="157"/>
  <c r="C364" i="157" s="1"/>
  <c r="B224" i="37" s="1"/>
  <c r="C335" i="157"/>
  <c r="B208" i="37" s="1"/>
  <c r="E335" i="157"/>
  <c r="D208" i="37" s="1"/>
  <c r="C336" i="157"/>
  <c r="B209" i="37" s="1"/>
  <c r="E336" i="157"/>
  <c r="D209" i="37" s="1"/>
  <c r="C337" i="157"/>
  <c r="B210" i="37" s="1"/>
  <c r="E337" i="157"/>
  <c r="D210" i="37" s="1"/>
  <c r="C338" i="157"/>
  <c r="B211" i="37" s="1"/>
  <c r="E338" i="157"/>
  <c r="D211" i="37" s="1"/>
  <c r="C340" i="157"/>
  <c r="B213" i="37" s="1"/>
  <c r="E340" i="157"/>
  <c r="D213" i="37" s="1"/>
  <c r="C341" i="157"/>
  <c r="B214" i="37" s="1"/>
  <c r="E341" i="157"/>
  <c r="D214" i="37" s="1"/>
  <c r="C342" i="157"/>
  <c r="B215" i="37" s="1"/>
  <c r="E342" i="157"/>
  <c r="D215" i="37" s="1"/>
  <c r="I335" i="157"/>
  <c r="H208" i="37" s="1"/>
  <c r="I336" i="157"/>
  <c r="H209" i="37" s="1"/>
  <c r="I337" i="157"/>
  <c r="H210" i="37" s="1"/>
  <c r="I338" i="157"/>
  <c r="H211" i="37" s="1"/>
  <c r="I340" i="157"/>
  <c r="H213" i="37" s="1"/>
  <c r="I341" i="157"/>
  <c r="H214" i="37" s="1"/>
  <c r="I342" i="157"/>
  <c r="H215" i="37" s="1"/>
  <c r="G340" i="157"/>
  <c r="F213" i="37" s="1"/>
  <c r="G341" i="157"/>
  <c r="F214" i="37" s="1"/>
  <c r="G342" i="157"/>
  <c r="F215" i="37" s="1"/>
  <c r="E327" i="157"/>
  <c r="E339" i="157" s="1"/>
  <c r="D212" i="37" s="1"/>
  <c r="G327" i="157"/>
  <c r="I327" i="157"/>
  <c r="D328" i="157"/>
  <c r="D340" i="157" s="1"/>
  <c r="C213" i="37" s="1"/>
  <c r="D329" i="157"/>
  <c r="F329" i="157" s="1"/>
  <c r="F341" i="157" s="1"/>
  <c r="E214" i="37" s="1"/>
  <c r="D330" i="157"/>
  <c r="D342" i="157" s="1"/>
  <c r="C215" i="37" s="1"/>
  <c r="C339" i="157"/>
  <c r="B212" i="37" s="1"/>
  <c r="C309" i="157"/>
  <c r="B183" i="37" s="1"/>
  <c r="E309" i="157"/>
  <c r="D183" i="37" s="1"/>
  <c r="C310" i="157"/>
  <c r="B184" i="37" s="1"/>
  <c r="E310" i="157"/>
  <c r="D184" i="37" s="1"/>
  <c r="C311" i="157"/>
  <c r="B185" i="37" s="1"/>
  <c r="E311" i="157"/>
  <c r="D185" i="37" s="1"/>
  <c r="C312" i="157"/>
  <c r="B186" i="37" s="1"/>
  <c r="E312" i="157"/>
  <c r="D186" i="37" s="1"/>
  <c r="C314" i="157"/>
  <c r="B188" i="37" s="1"/>
  <c r="E314" i="157"/>
  <c r="D188" i="37" s="1"/>
  <c r="C315" i="157"/>
  <c r="B189" i="37" s="1"/>
  <c r="E315" i="157"/>
  <c r="D189" i="37" s="1"/>
  <c r="C316" i="157"/>
  <c r="B190" i="37" s="1"/>
  <c r="E316" i="157"/>
  <c r="D190" i="37" s="1"/>
  <c r="I309" i="157"/>
  <c r="H183" i="37" s="1"/>
  <c r="I310" i="157"/>
  <c r="H184" i="37" s="1"/>
  <c r="I311" i="157"/>
  <c r="H185" i="37" s="1"/>
  <c r="I312" i="157"/>
  <c r="H186" i="37" s="1"/>
  <c r="I314" i="157"/>
  <c r="H188" i="37" s="1"/>
  <c r="I315" i="157"/>
  <c r="H189" i="37" s="1"/>
  <c r="I316" i="157"/>
  <c r="H190" i="37" s="1"/>
  <c r="G314" i="157"/>
  <c r="F188" i="37" s="1"/>
  <c r="G315" i="157"/>
  <c r="F189" i="37" s="1"/>
  <c r="G316" i="157"/>
  <c r="F190" i="37" s="1"/>
  <c r="G300" i="157"/>
  <c r="E300" i="157"/>
  <c r="E313" i="157" s="1"/>
  <c r="D187" i="37" s="1"/>
  <c r="I300" i="157"/>
  <c r="C313" i="157"/>
  <c r="B187" i="37" s="1"/>
  <c r="D301" i="157"/>
  <c r="D314" i="157" s="1"/>
  <c r="C188" i="37" s="1"/>
  <c r="D302" i="157"/>
  <c r="D315" i="157" s="1"/>
  <c r="C189" i="37" s="1"/>
  <c r="D303" i="157"/>
  <c r="D316" i="157" s="1"/>
  <c r="C190" i="37" s="1"/>
  <c r="C281" i="157"/>
  <c r="B169" i="37" s="1"/>
  <c r="E281" i="157"/>
  <c r="D169" i="37" s="1"/>
  <c r="C282" i="157"/>
  <c r="B170" i="37" s="1"/>
  <c r="E282" i="157"/>
  <c r="D170" i="37" s="1"/>
  <c r="C283" i="157"/>
  <c r="B171" i="37" s="1"/>
  <c r="E283" i="157"/>
  <c r="D171" i="37" s="1"/>
  <c r="C284" i="157"/>
  <c r="B172" i="37" s="1"/>
  <c r="E284" i="157"/>
  <c r="D172" i="37" s="1"/>
  <c r="C286" i="157"/>
  <c r="B174" i="37" s="1"/>
  <c r="E286" i="157"/>
  <c r="D174" i="37" s="1"/>
  <c r="C287" i="157"/>
  <c r="B175" i="37" s="1"/>
  <c r="E287" i="157"/>
  <c r="D175" i="37" s="1"/>
  <c r="C288" i="157"/>
  <c r="B176" i="37" s="1"/>
  <c r="E288" i="157"/>
  <c r="D176" i="37" s="1"/>
  <c r="I281" i="157"/>
  <c r="H169" i="37" s="1"/>
  <c r="I282" i="157"/>
  <c r="H170" i="37" s="1"/>
  <c r="I283" i="157"/>
  <c r="H171" i="37" s="1"/>
  <c r="I284" i="157"/>
  <c r="H172" i="37" s="1"/>
  <c r="I286" i="157"/>
  <c r="H174" i="37" s="1"/>
  <c r="I287" i="157"/>
  <c r="H175" i="37" s="1"/>
  <c r="I288" i="157"/>
  <c r="H176" i="37" s="1"/>
  <c r="G286" i="157"/>
  <c r="F174" i="37" s="1"/>
  <c r="G287" i="157"/>
  <c r="F175" i="37" s="1"/>
  <c r="G288" i="157"/>
  <c r="F176" i="37" s="1"/>
  <c r="E271" i="157"/>
  <c r="E285" i="157" s="1"/>
  <c r="D173" i="37" s="1"/>
  <c r="G271" i="157"/>
  <c r="I271" i="157"/>
  <c r="D272" i="157"/>
  <c r="F272" i="157" s="1"/>
  <c r="F286" i="157" s="1"/>
  <c r="E174" i="37" s="1"/>
  <c r="D273" i="157"/>
  <c r="F273" i="157" s="1"/>
  <c r="F287" i="157" s="1"/>
  <c r="E175" i="37" s="1"/>
  <c r="D274" i="157"/>
  <c r="F274" i="157" s="1"/>
  <c r="F288" i="157" s="1"/>
  <c r="E176" i="37" s="1"/>
  <c r="C285" i="157"/>
  <c r="B173" i="37" s="1"/>
  <c r="C252" i="157"/>
  <c r="B155" i="37" s="1"/>
  <c r="E252" i="157"/>
  <c r="D155" i="37" s="1"/>
  <c r="C253" i="157"/>
  <c r="B156" i="37" s="1"/>
  <c r="E253" i="157"/>
  <c r="D156" i="37" s="1"/>
  <c r="C254" i="157"/>
  <c r="B157" i="37" s="1"/>
  <c r="E254" i="157"/>
  <c r="D157" i="37" s="1"/>
  <c r="C255" i="157"/>
  <c r="B158" i="37" s="1"/>
  <c r="E255" i="157"/>
  <c r="D158" i="37" s="1"/>
  <c r="C257" i="157"/>
  <c r="B160" i="37" s="1"/>
  <c r="E257" i="157"/>
  <c r="D160" i="37" s="1"/>
  <c r="C258" i="157"/>
  <c r="B161" i="37" s="1"/>
  <c r="E258" i="157"/>
  <c r="D161" i="37" s="1"/>
  <c r="C259" i="157"/>
  <c r="B162" i="37" s="1"/>
  <c r="E259" i="157"/>
  <c r="D162" i="37" s="1"/>
  <c r="I252" i="157"/>
  <c r="H155" i="37" s="1"/>
  <c r="I253" i="157"/>
  <c r="H156" i="37" s="1"/>
  <c r="I254" i="157"/>
  <c r="H157" i="37" s="1"/>
  <c r="I255" i="157"/>
  <c r="H158" i="37" s="1"/>
  <c r="I257" i="157"/>
  <c r="H160" i="37" s="1"/>
  <c r="I258" i="157"/>
  <c r="H161" i="37" s="1"/>
  <c r="I259" i="157"/>
  <c r="H162" i="37" s="1"/>
  <c r="G257" i="157"/>
  <c r="F160" i="37" s="1"/>
  <c r="G258" i="157"/>
  <c r="F161" i="37" s="1"/>
  <c r="G259" i="157"/>
  <c r="F162" i="37" s="1"/>
  <c r="E242" i="157"/>
  <c r="E256" i="157" s="1"/>
  <c r="D159" i="37" s="1"/>
  <c r="G242" i="157"/>
  <c r="I242" i="157"/>
  <c r="D243" i="157"/>
  <c r="D257" i="157" s="1"/>
  <c r="C160" i="37" s="1"/>
  <c r="D244" i="157"/>
  <c r="F244" i="157" s="1"/>
  <c r="F258" i="157" s="1"/>
  <c r="E161" i="37" s="1"/>
  <c r="D245" i="157"/>
  <c r="F245" i="157" s="1"/>
  <c r="F259" i="157" s="1"/>
  <c r="E162" i="37" s="1"/>
  <c r="C256" i="157"/>
  <c r="B159" i="37" s="1"/>
  <c r="C225" i="157"/>
  <c r="B117" i="37" s="1"/>
  <c r="E225" i="157"/>
  <c r="D117" i="37" s="1"/>
  <c r="C226" i="157"/>
  <c r="B118" i="37" s="1"/>
  <c r="E226" i="157"/>
  <c r="D118" i="37" s="1"/>
  <c r="C227" i="157"/>
  <c r="B119" i="37" s="1"/>
  <c r="E227" i="157"/>
  <c r="D119" i="37" s="1"/>
  <c r="C228" i="157"/>
  <c r="B120" i="37" s="1"/>
  <c r="E228" i="157"/>
  <c r="D120" i="37" s="1"/>
  <c r="C230" i="157"/>
  <c r="B122" i="37" s="1"/>
  <c r="E230" i="157"/>
  <c r="D122" i="37" s="1"/>
  <c r="C231" i="157"/>
  <c r="B123" i="37" s="1"/>
  <c r="E231" i="157"/>
  <c r="D123" i="37" s="1"/>
  <c r="C232" i="157"/>
  <c r="B124" i="37" s="1"/>
  <c r="E232" i="157"/>
  <c r="D124" i="37" s="1"/>
  <c r="I225" i="157"/>
  <c r="H117" i="37" s="1"/>
  <c r="I226" i="157"/>
  <c r="H118" i="37" s="1"/>
  <c r="I227" i="157"/>
  <c r="H119" i="37" s="1"/>
  <c r="I228" i="157"/>
  <c r="H120" i="37" s="1"/>
  <c r="I230" i="157"/>
  <c r="H122" i="37" s="1"/>
  <c r="I231" i="157"/>
  <c r="H123" i="37" s="1"/>
  <c r="I232" i="157"/>
  <c r="H124" i="37" s="1"/>
  <c r="G230" i="157"/>
  <c r="F122" i="37" s="1"/>
  <c r="G231" i="157"/>
  <c r="F123" i="37" s="1"/>
  <c r="G232" i="157"/>
  <c r="F124" i="37" s="1"/>
  <c r="E229" i="157"/>
  <c r="D121" i="37" s="1"/>
  <c r="G217" i="157"/>
  <c r="I217" i="157"/>
  <c r="D218" i="157"/>
  <c r="F218" i="157" s="1"/>
  <c r="F230" i="157" s="1"/>
  <c r="E122" i="37" s="1"/>
  <c r="D219" i="157"/>
  <c r="F219" i="157" s="1"/>
  <c r="F231" i="157" s="1"/>
  <c r="E123" i="37" s="1"/>
  <c r="D220" i="157"/>
  <c r="F220" i="157" s="1"/>
  <c r="F232" i="157" s="1"/>
  <c r="E124" i="37" s="1"/>
  <c r="C229" i="157"/>
  <c r="B121" i="37" s="1"/>
  <c r="C199" i="157"/>
  <c r="B91" i="37" s="1"/>
  <c r="E199" i="157"/>
  <c r="D91" i="37" s="1"/>
  <c r="C200" i="157"/>
  <c r="B92" i="37" s="1"/>
  <c r="E200" i="157"/>
  <c r="D92" i="37" s="1"/>
  <c r="C201" i="157"/>
  <c r="B93" i="37" s="1"/>
  <c r="E201" i="157"/>
  <c r="D93" i="37" s="1"/>
  <c r="C202" i="157"/>
  <c r="B94" i="37" s="1"/>
  <c r="E202" i="157"/>
  <c r="D94" i="37" s="1"/>
  <c r="C204" i="157"/>
  <c r="B96" i="37" s="1"/>
  <c r="E204" i="157"/>
  <c r="D96" i="37" s="1"/>
  <c r="C205" i="157"/>
  <c r="B97" i="37" s="1"/>
  <c r="E205" i="157"/>
  <c r="D97" i="37" s="1"/>
  <c r="C206" i="157"/>
  <c r="B98" i="37" s="1"/>
  <c r="E206" i="157"/>
  <c r="D98" i="37" s="1"/>
  <c r="I199" i="157"/>
  <c r="H91" i="37" s="1"/>
  <c r="I200" i="157"/>
  <c r="H92" i="37" s="1"/>
  <c r="I201" i="157"/>
  <c r="H93" i="37" s="1"/>
  <c r="I202" i="157"/>
  <c r="H94" i="37" s="1"/>
  <c r="J202" i="157"/>
  <c r="I94" i="37" s="1"/>
  <c r="I204" i="157"/>
  <c r="H96" i="37" s="1"/>
  <c r="I205" i="157"/>
  <c r="H97" i="37" s="1"/>
  <c r="I206" i="157"/>
  <c r="H98" i="37" s="1"/>
  <c r="G204" i="157"/>
  <c r="F96" i="37" s="1"/>
  <c r="G205" i="157"/>
  <c r="F97" i="37" s="1"/>
  <c r="G206" i="157"/>
  <c r="F98" i="37" s="1"/>
  <c r="E190" i="157"/>
  <c r="E203" i="157" s="1"/>
  <c r="D95" i="37" s="1"/>
  <c r="G190" i="157"/>
  <c r="I190" i="157"/>
  <c r="H202" i="157"/>
  <c r="D189" i="157"/>
  <c r="D191" i="157"/>
  <c r="F191" i="157" s="1"/>
  <c r="F204" i="157" s="1"/>
  <c r="E96" i="37" s="1"/>
  <c r="D192" i="157"/>
  <c r="F192" i="157" s="1"/>
  <c r="F205" i="157" s="1"/>
  <c r="E97" i="37" s="1"/>
  <c r="D193" i="157"/>
  <c r="F193" i="157" s="1"/>
  <c r="F206" i="157" s="1"/>
  <c r="E98" i="37" s="1"/>
  <c r="C203" i="157"/>
  <c r="B95" i="37" s="1"/>
  <c r="C177" i="157"/>
  <c r="B83" i="37" s="1"/>
  <c r="E177" i="157"/>
  <c r="D83" i="37" s="1"/>
  <c r="C178" i="157"/>
  <c r="B84" i="37" s="1"/>
  <c r="E178" i="157"/>
  <c r="D84" i="37" s="1"/>
  <c r="I177" i="157"/>
  <c r="I178" i="157"/>
  <c r="G178" i="157"/>
  <c r="F84" i="37" s="1"/>
  <c r="G177" i="157"/>
  <c r="F83" i="37" s="1"/>
  <c r="C176" i="157"/>
  <c r="B82" i="37" s="1"/>
  <c r="E176" i="157"/>
  <c r="D82" i="37" s="1"/>
  <c r="I176" i="157"/>
  <c r="G176" i="157"/>
  <c r="F82" i="37" s="1"/>
  <c r="E164" i="157"/>
  <c r="G164" i="157"/>
  <c r="D165" i="157"/>
  <c r="F165" i="157" s="1"/>
  <c r="C164" i="157"/>
  <c r="J152" i="157"/>
  <c r="D153" i="157"/>
  <c r="D177" i="157" s="1"/>
  <c r="C83" i="37" s="1"/>
  <c r="D154" i="157"/>
  <c r="F154" i="157" s="1"/>
  <c r="F178" i="157" s="1"/>
  <c r="E84" i="37" s="1"/>
  <c r="D152" i="157"/>
  <c r="F152" i="157" s="1"/>
  <c r="E151" i="157"/>
  <c r="G151" i="157"/>
  <c r="I151" i="157"/>
  <c r="C139" i="157"/>
  <c r="B45" i="37" s="1"/>
  <c r="E139" i="157"/>
  <c r="D45" i="37" s="1"/>
  <c r="I139" i="157"/>
  <c r="H45" i="37" s="1"/>
  <c r="G139" i="157"/>
  <c r="F45" i="37" s="1"/>
  <c r="C138" i="157"/>
  <c r="B44" i="37" s="1"/>
  <c r="E138" i="157"/>
  <c r="D44" i="37" s="1"/>
  <c r="I138" i="157"/>
  <c r="H44" i="37" s="1"/>
  <c r="G138" i="157"/>
  <c r="F44" i="37" s="1"/>
  <c r="C137" i="157"/>
  <c r="B43" i="37" s="1"/>
  <c r="E137" i="157"/>
  <c r="D43" i="37" s="1"/>
  <c r="I137" i="157"/>
  <c r="H43" i="37" s="1"/>
  <c r="G137" i="157"/>
  <c r="F43" i="37" s="1"/>
  <c r="E122" i="157"/>
  <c r="G122" i="157"/>
  <c r="I122" i="157"/>
  <c r="C136" i="157"/>
  <c r="B42" i="37" s="1"/>
  <c r="J121" i="157"/>
  <c r="D123" i="157"/>
  <c r="F123" i="157" s="1"/>
  <c r="F137" i="157" s="1"/>
  <c r="E43" i="37" s="1"/>
  <c r="D124" i="157"/>
  <c r="F124" i="157" s="1"/>
  <c r="F138" i="157" s="1"/>
  <c r="E44" i="37" s="1"/>
  <c r="D125" i="157"/>
  <c r="F125" i="157" s="1"/>
  <c r="F139" i="157" s="1"/>
  <c r="E45" i="37" s="1"/>
  <c r="B31" i="37"/>
  <c r="F31" i="37"/>
  <c r="C108" i="157"/>
  <c r="B30" i="37" s="1"/>
  <c r="E108" i="157"/>
  <c r="I108" i="157"/>
  <c r="G108" i="157"/>
  <c r="F30" i="37" s="1"/>
  <c r="B29" i="37"/>
  <c r="E107" i="157"/>
  <c r="I107" i="157"/>
  <c r="G107" i="157"/>
  <c r="F29" i="37" s="1"/>
  <c r="C105" i="157"/>
  <c r="B27" i="37" s="1"/>
  <c r="E105" i="157"/>
  <c r="C104" i="157"/>
  <c r="B26" i="37" s="1"/>
  <c r="E104" i="157"/>
  <c r="C103" i="157"/>
  <c r="B25" i="37" s="1"/>
  <c r="E103" i="157"/>
  <c r="C102" i="157"/>
  <c r="B24" i="37" s="1"/>
  <c r="E102" i="157"/>
  <c r="E96" i="157"/>
  <c r="G96" i="157"/>
  <c r="I96" i="157"/>
  <c r="D97" i="157"/>
  <c r="D96" i="157" s="1"/>
  <c r="G84" i="157"/>
  <c r="G90" i="157" s="1"/>
  <c r="J85" i="157"/>
  <c r="D85" i="157"/>
  <c r="F85" i="157" s="1"/>
  <c r="E84" i="157"/>
  <c r="I84" i="157"/>
  <c r="E74" i="157"/>
  <c r="G74" i="157"/>
  <c r="I74" i="157"/>
  <c r="D75" i="157"/>
  <c r="F75" i="157" s="1"/>
  <c r="D64" i="157"/>
  <c r="E51" i="157"/>
  <c r="G51" i="157"/>
  <c r="I51" i="157"/>
  <c r="D52" i="157"/>
  <c r="D51" i="157" s="1"/>
  <c r="E41" i="157"/>
  <c r="G41" i="157"/>
  <c r="I41" i="157"/>
  <c r="D42" i="157"/>
  <c r="F42" i="157" s="1"/>
  <c r="J32" i="157"/>
  <c r="J30" i="157"/>
  <c r="D31" i="157"/>
  <c r="F31" i="157" s="1"/>
  <c r="D32" i="157"/>
  <c r="D30" i="157"/>
  <c r="F30" i="157" s="1"/>
  <c r="E29" i="157"/>
  <c r="G29" i="157"/>
  <c r="I29" i="157"/>
  <c r="G15" i="157"/>
  <c r="G94" i="37" l="1"/>
  <c r="F351" i="157"/>
  <c r="F363" i="157" s="1"/>
  <c r="E223" i="37" s="1"/>
  <c r="D202" i="157"/>
  <c r="C94" i="37" s="1"/>
  <c r="F189" i="157"/>
  <c r="F202" i="157" s="1"/>
  <c r="E94" i="37" s="1"/>
  <c r="F64" i="157"/>
  <c r="G285" i="157"/>
  <c r="F173" i="37" s="1"/>
  <c r="F26" i="46"/>
  <c r="F56" i="37" s="1"/>
  <c r="G339" i="157"/>
  <c r="F212" i="37" s="1"/>
  <c r="G203" i="157"/>
  <c r="F95" i="37" s="1"/>
  <c r="G256" i="157"/>
  <c r="F159" i="37" s="1"/>
  <c r="G313" i="157"/>
  <c r="F187" i="37" s="1"/>
  <c r="H26" i="57"/>
  <c r="H200" i="37" s="1"/>
  <c r="G229" i="157"/>
  <c r="F121" i="37" s="1"/>
  <c r="F26" i="57"/>
  <c r="F200" i="37" s="1"/>
  <c r="J64" i="157"/>
  <c r="H137" i="157"/>
  <c r="J123" i="157"/>
  <c r="J137" i="157" s="1"/>
  <c r="I43" i="37" s="1"/>
  <c r="H205" i="157"/>
  <c r="J192" i="157"/>
  <c r="J205" i="157" s="1"/>
  <c r="I97" i="37" s="1"/>
  <c r="H231" i="157"/>
  <c r="J219" i="157"/>
  <c r="J231" i="157" s="1"/>
  <c r="I123" i="37" s="1"/>
  <c r="H288" i="157"/>
  <c r="J274" i="157"/>
  <c r="J288" i="157" s="1"/>
  <c r="I176" i="37" s="1"/>
  <c r="H314" i="157"/>
  <c r="J301" i="157"/>
  <c r="J314" i="157" s="1"/>
  <c r="I188" i="37" s="1"/>
  <c r="H340" i="157"/>
  <c r="J328" i="157"/>
  <c r="J340" i="157" s="1"/>
  <c r="I213" i="37" s="1"/>
  <c r="H367" i="157"/>
  <c r="J355" i="157"/>
  <c r="H362" i="157"/>
  <c r="H96" i="157"/>
  <c r="J97" i="157"/>
  <c r="H178" i="157"/>
  <c r="J154" i="157"/>
  <c r="H164" i="157"/>
  <c r="J165" i="157"/>
  <c r="H204" i="157"/>
  <c r="J191" i="157"/>
  <c r="J204" i="157" s="1"/>
  <c r="I96" i="37" s="1"/>
  <c r="H230" i="157"/>
  <c r="J218" i="157"/>
  <c r="J230" i="157" s="1"/>
  <c r="I122" i="37" s="1"/>
  <c r="H259" i="157"/>
  <c r="J245" i="157"/>
  <c r="J259" i="157" s="1"/>
  <c r="I162" i="37" s="1"/>
  <c r="H287" i="157"/>
  <c r="J273" i="157"/>
  <c r="J287" i="157" s="1"/>
  <c r="I175" i="37" s="1"/>
  <c r="H338" i="157"/>
  <c r="J326" i="157"/>
  <c r="J338" i="157" s="1"/>
  <c r="I211" i="37" s="1"/>
  <c r="H366" i="157"/>
  <c r="J354" i="157"/>
  <c r="H221" i="37"/>
  <c r="H139" i="157"/>
  <c r="J125" i="157"/>
  <c r="J139" i="157" s="1"/>
  <c r="I45" i="37" s="1"/>
  <c r="H177" i="157"/>
  <c r="J153" i="157"/>
  <c r="H258" i="157"/>
  <c r="J244" i="157"/>
  <c r="J258" i="157" s="1"/>
  <c r="I161" i="37" s="1"/>
  <c r="H286" i="157"/>
  <c r="J272" i="157"/>
  <c r="J286" i="157" s="1"/>
  <c r="I174" i="37" s="1"/>
  <c r="H316" i="157"/>
  <c r="J303" i="157"/>
  <c r="J316" i="157" s="1"/>
  <c r="I190" i="37" s="1"/>
  <c r="H342" i="157"/>
  <c r="J330" i="157"/>
  <c r="J342" i="157" s="1"/>
  <c r="I215" i="37" s="1"/>
  <c r="H365" i="157"/>
  <c r="J353" i="157"/>
  <c r="H138" i="157"/>
  <c r="J124" i="157"/>
  <c r="J138" i="157" s="1"/>
  <c r="I44" i="37" s="1"/>
  <c r="H206" i="157"/>
  <c r="J193" i="157"/>
  <c r="J206" i="157" s="1"/>
  <c r="I98" i="37" s="1"/>
  <c r="H232" i="157"/>
  <c r="J220" i="157"/>
  <c r="J232" i="157" s="1"/>
  <c r="I124" i="37" s="1"/>
  <c r="H257" i="157"/>
  <c r="J243" i="157"/>
  <c r="J257" i="157" s="1"/>
  <c r="I160" i="37" s="1"/>
  <c r="H315" i="157"/>
  <c r="J302" i="157"/>
  <c r="J315" i="157" s="1"/>
  <c r="I189" i="37" s="1"/>
  <c r="H341" i="157"/>
  <c r="J329" i="157"/>
  <c r="J341" i="157" s="1"/>
  <c r="I214" i="37" s="1"/>
  <c r="H363" i="157"/>
  <c r="H225" i="37"/>
  <c r="H227" i="37"/>
  <c r="H226" i="37"/>
  <c r="H220" i="37"/>
  <c r="I339" i="157"/>
  <c r="H212" i="37" s="1"/>
  <c r="I313" i="157"/>
  <c r="H187" i="37" s="1"/>
  <c r="I285" i="157"/>
  <c r="H173" i="37" s="1"/>
  <c r="I256" i="157"/>
  <c r="H159" i="37" s="1"/>
  <c r="I229" i="157"/>
  <c r="H121" i="37" s="1"/>
  <c r="H84" i="37"/>
  <c r="H83" i="37"/>
  <c r="J86" i="157"/>
  <c r="D31" i="37"/>
  <c r="H31" i="37"/>
  <c r="H30" i="37"/>
  <c r="D30" i="37"/>
  <c r="D29" i="37"/>
  <c r="H29" i="37"/>
  <c r="D27" i="37"/>
  <c r="D26" i="37"/>
  <c r="D25" i="37"/>
  <c r="D24" i="37"/>
  <c r="H82" i="37"/>
  <c r="I203" i="157"/>
  <c r="H95" i="37" s="1"/>
  <c r="H74" i="157"/>
  <c r="J75" i="157"/>
  <c r="H51" i="157"/>
  <c r="J52" i="157"/>
  <c r="H41" i="157"/>
  <c r="J42" i="157"/>
  <c r="F153" i="157"/>
  <c r="F177" i="157" s="1"/>
  <c r="E83" i="37" s="1"/>
  <c r="F176" i="157"/>
  <c r="E82" i="37" s="1"/>
  <c r="G364" i="157"/>
  <c r="F224" i="37" s="1"/>
  <c r="I13" i="57"/>
  <c r="I25" i="57" s="1"/>
  <c r="I199" i="37" s="1"/>
  <c r="G27" i="57"/>
  <c r="G201" i="37" s="1"/>
  <c r="G28" i="57"/>
  <c r="G202" i="37" s="1"/>
  <c r="I17" i="57"/>
  <c r="I29" i="57" s="1"/>
  <c r="I203" i="37" s="1"/>
  <c r="I13" i="46"/>
  <c r="I25" i="46" s="1"/>
  <c r="I55" i="37" s="1"/>
  <c r="G27" i="46"/>
  <c r="G57" i="37" s="1"/>
  <c r="G28" i="46"/>
  <c r="G58" i="37" s="1"/>
  <c r="G29" i="46"/>
  <c r="G59" i="37" s="1"/>
  <c r="E15" i="57"/>
  <c r="E27" i="57" s="1"/>
  <c r="E201" i="37" s="1"/>
  <c r="E17" i="57"/>
  <c r="E29" i="57" s="1"/>
  <c r="E203" i="37" s="1"/>
  <c r="C28" i="57"/>
  <c r="C202" i="37" s="1"/>
  <c r="E13" i="57"/>
  <c r="E25" i="57" s="1"/>
  <c r="E199" i="37" s="1"/>
  <c r="C27" i="46"/>
  <c r="C57" i="37" s="1"/>
  <c r="E17" i="46"/>
  <c r="E29" i="46" s="1"/>
  <c r="E59" i="37" s="1"/>
  <c r="C14" i="46"/>
  <c r="E16" i="46"/>
  <c r="E28" i="46" s="1"/>
  <c r="E58" i="37" s="1"/>
  <c r="E13" i="46"/>
  <c r="E25" i="46" s="1"/>
  <c r="E55" i="37" s="1"/>
  <c r="C175" i="157"/>
  <c r="B81" i="37" s="1"/>
  <c r="G14" i="46"/>
  <c r="D366" i="157"/>
  <c r="C226" i="37" s="1"/>
  <c r="E364" i="157"/>
  <c r="D224" i="37" s="1"/>
  <c r="D367" i="157"/>
  <c r="C227" i="37" s="1"/>
  <c r="D363" i="157"/>
  <c r="C223" i="37" s="1"/>
  <c r="D362" i="157"/>
  <c r="C222" i="37" s="1"/>
  <c r="I364" i="157"/>
  <c r="D352" i="157"/>
  <c r="D364" i="157" s="1"/>
  <c r="C224" i="37" s="1"/>
  <c r="F353" i="157"/>
  <c r="F365" i="157" s="1"/>
  <c r="E225" i="37" s="1"/>
  <c r="H352" i="157"/>
  <c r="F328" i="157"/>
  <c r="F340" i="157" s="1"/>
  <c r="E213" i="37" s="1"/>
  <c r="D327" i="157"/>
  <c r="D339" i="157" s="1"/>
  <c r="C212" i="37" s="1"/>
  <c r="F330" i="157"/>
  <c r="F342" i="157" s="1"/>
  <c r="E215" i="37" s="1"/>
  <c r="D341" i="157"/>
  <c r="C214" i="37" s="1"/>
  <c r="H327" i="157"/>
  <c r="F301" i="157"/>
  <c r="F314" i="157" s="1"/>
  <c r="E188" i="37" s="1"/>
  <c r="F303" i="157"/>
  <c r="F316" i="157" s="1"/>
  <c r="E190" i="37" s="1"/>
  <c r="F302" i="157"/>
  <c r="F315" i="157" s="1"/>
  <c r="E189" i="37" s="1"/>
  <c r="D300" i="157"/>
  <c r="H300" i="157"/>
  <c r="D288" i="157"/>
  <c r="C176" i="37" s="1"/>
  <c r="D287" i="157"/>
  <c r="C175" i="37" s="1"/>
  <c r="D286" i="157"/>
  <c r="C174" i="37" s="1"/>
  <c r="D271" i="157"/>
  <c r="D259" i="157"/>
  <c r="C162" i="37" s="1"/>
  <c r="H271" i="157"/>
  <c r="D258" i="157"/>
  <c r="C161" i="37" s="1"/>
  <c r="H242" i="157"/>
  <c r="F243" i="157"/>
  <c r="F257" i="157" s="1"/>
  <c r="E160" i="37" s="1"/>
  <c r="D232" i="157"/>
  <c r="C124" i="37" s="1"/>
  <c r="D231" i="157"/>
  <c r="C123" i="37" s="1"/>
  <c r="D230" i="157"/>
  <c r="C122" i="37" s="1"/>
  <c r="D205" i="157"/>
  <c r="C97" i="37" s="1"/>
  <c r="D217" i="157"/>
  <c r="H217" i="157"/>
  <c r="D204" i="157"/>
  <c r="C96" i="37" s="1"/>
  <c r="D206" i="157"/>
  <c r="C98" i="37" s="1"/>
  <c r="D164" i="157"/>
  <c r="F164" i="157" s="1"/>
  <c r="E175" i="157"/>
  <c r="D81" i="37" s="1"/>
  <c r="D178" i="157"/>
  <c r="C84" i="37" s="1"/>
  <c r="G175" i="157"/>
  <c r="F81" i="37" s="1"/>
  <c r="I175" i="157"/>
  <c r="D176" i="157"/>
  <c r="C82" i="37" s="1"/>
  <c r="H176" i="157"/>
  <c r="H151" i="157"/>
  <c r="D137" i="157"/>
  <c r="C43" i="37" s="1"/>
  <c r="D138" i="157"/>
  <c r="C44" i="37" s="1"/>
  <c r="D139" i="157"/>
  <c r="C45" i="37" s="1"/>
  <c r="G136" i="157"/>
  <c r="F42" i="37" s="1"/>
  <c r="D122" i="157"/>
  <c r="E136" i="157"/>
  <c r="D42" i="37" s="1"/>
  <c r="I136" i="157"/>
  <c r="H42" i="37" s="1"/>
  <c r="H122" i="157"/>
  <c r="F97" i="157"/>
  <c r="F96" i="157"/>
  <c r="F51" i="157"/>
  <c r="D74" i="157"/>
  <c r="F74" i="157" s="1"/>
  <c r="F52" i="157"/>
  <c r="D41" i="157"/>
  <c r="F41" i="157" s="1"/>
  <c r="F32" i="157"/>
  <c r="G222" i="37" l="1"/>
  <c r="G214" i="37"/>
  <c r="G215" i="37"/>
  <c r="G213" i="37"/>
  <c r="G190" i="37"/>
  <c r="G189" i="37"/>
  <c r="G188" i="37"/>
  <c r="G226" i="37"/>
  <c r="G227" i="37"/>
  <c r="G225" i="37"/>
  <c r="G161" i="37"/>
  <c r="G162" i="37"/>
  <c r="G160" i="37"/>
  <c r="G98" i="37"/>
  <c r="G97" i="37"/>
  <c r="G96" i="37"/>
  <c r="G175" i="37"/>
  <c r="G176" i="37"/>
  <c r="G174" i="37"/>
  <c r="J164" i="157"/>
  <c r="G84" i="37"/>
  <c r="G83" i="37"/>
  <c r="G82" i="37"/>
  <c r="G45" i="37"/>
  <c r="G44" i="37"/>
  <c r="G43" i="37"/>
  <c r="G124" i="37"/>
  <c r="G123" i="37"/>
  <c r="G122" i="37"/>
  <c r="J96" i="157"/>
  <c r="J74" i="157"/>
  <c r="J51" i="157"/>
  <c r="J41" i="157"/>
  <c r="G223" i="37"/>
  <c r="G211" i="37"/>
  <c r="J365" i="157"/>
  <c r="I225" i="37" s="1"/>
  <c r="H256" i="157"/>
  <c r="J122" i="157"/>
  <c r="J136" i="157" s="1"/>
  <c r="I42" i="37" s="1"/>
  <c r="H364" i="157"/>
  <c r="H339" i="157"/>
  <c r="H285" i="157"/>
  <c r="H313" i="157"/>
  <c r="H229" i="157"/>
  <c r="H175" i="157"/>
  <c r="J178" i="157"/>
  <c r="I84" i="37" s="1"/>
  <c r="J367" i="157"/>
  <c r="I227" i="37" s="1"/>
  <c r="J366" i="157"/>
  <c r="I226" i="37" s="1"/>
  <c r="J177" i="157"/>
  <c r="I83" i="37" s="1"/>
  <c r="J217" i="157"/>
  <c r="J229" i="157" s="1"/>
  <c r="I121" i="37" s="1"/>
  <c r="J271" i="157"/>
  <c r="J285" i="157" s="1"/>
  <c r="I173" i="37" s="1"/>
  <c r="J327" i="157"/>
  <c r="J339" i="157" s="1"/>
  <c r="I212" i="37" s="1"/>
  <c r="J151" i="157"/>
  <c r="J352" i="157"/>
  <c r="J176" i="157"/>
  <c r="I82" i="37" s="1"/>
  <c r="J242" i="157"/>
  <c r="J256" i="157" s="1"/>
  <c r="I159" i="37" s="1"/>
  <c r="J300" i="157"/>
  <c r="J313" i="157" s="1"/>
  <c r="I187" i="37" s="1"/>
  <c r="H224" i="37"/>
  <c r="H81" i="37"/>
  <c r="I14" i="46"/>
  <c r="I26" i="46" s="1"/>
  <c r="I56" i="37" s="1"/>
  <c r="G26" i="46"/>
  <c r="G56" i="37" s="1"/>
  <c r="E14" i="46"/>
  <c r="E26" i="46" s="1"/>
  <c r="E56" i="37" s="1"/>
  <c r="C26" i="46"/>
  <c r="C56" i="37" s="1"/>
  <c r="F352" i="157"/>
  <c r="F364" i="157" s="1"/>
  <c r="E224" i="37" s="1"/>
  <c r="F327" i="157"/>
  <c r="F339" i="157" s="1"/>
  <c r="E212" i="37" s="1"/>
  <c r="F300" i="157"/>
  <c r="F313" i="157" s="1"/>
  <c r="E187" i="37" s="1"/>
  <c r="D313" i="157"/>
  <c r="C187" i="37" s="1"/>
  <c r="F271" i="157"/>
  <c r="F285" i="157" s="1"/>
  <c r="E173" i="37" s="1"/>
  <c r="D285" i="157"/>
  <c r="C173" i="37" s="1"/>
  <c r="F217" i="157"/>
  <c r="F229" i="157" s="1"/>
  <c r="E121" i="37" s="1"/>
  <c r="D229" i="157"/>
  <c r="C121" i="37" s="1"/>
  <c r="H136" i="157"/>
  <c r="D136" i="157"/>
  <c r="C42" i="37" s="1"/>
  <c r="F122" i="157"/>
  <c r="F136" i="157" s="1"/>
  <c r="E42" i="37" s="1"/>
  <c r="G212" i="37" l="1"/>
  <c r="G187" i="37"/>
  <c r="G224" i="37"/>
  <c r="G159" i="37"/>
  <c r="G173" i="37"/>
  <c r="G81" i="37"/>
  <c r="G42" i="37"/>
  <c r="G121" i="37"/>
  <c r="J364" i="157"/>
  <c r="I224" i="37" s="1"/>
  <c r="J175" i="157"/>
  <c r="I81" i="37" s="1"/>
  <c r="H109" i="157"/>
  <c r="D18" i="157"/>
  <c r="D109" i="157" s="1"/>
  <c r="F109" i="157" s="1"/>
  <c r="D16" i="157"/>
  <c r="E15" i="157"/>
  <c r="I15" i="157"/>
  <c r="C106" i="157"/>
  <c r="B28" i="37" s="1"/>
  <c r="F18" i="157" l="1"/>
  <c r="J16" i="157"/>
  <c r="H107" i="157"/>
  <c r="J18" i="157"/>
  <c r="F16" i="157"/>
  <c r="D107" i="157"/>
  <c r="G29" i="37" l="1"/>
  <c r="J107" i="157"/>
  <c r="I29" i="37" s="1"/>
  <c r="C29" i="37"/>
  <c r="F107" i="157"/>
  <c r="E29" i="37" s="1"/>
  <c r="C31" i="37"/>
  <c r="G31" i="37"/>
  <c r="J109" i="157"/>
  <c r="I31" i="37" s="1"/>
  <c r="E31" i="37"/>
  <c r="E107" i="156"/>
  <c r="I107" i="156"/>
  <c r="C107" i="156"/>
  <c r="G44" i="156"/>
  <c r="G13" i="156"/>
  <c r="H239" i="37" l="1"/>
  <c r="B239" i="37"/>
  <c r="H237" i="37"/>
  <c r="B237" i="37"/>
  <c r="E382" i="156"/>
  <c r="I382" i="156"/>
  <c r="C382" i="156"/>
  <c r="J384" i="156"/>
  <c r="E370" i="156"/>
  <c r="I370" i="156"/>
  <c r="J371" i="156"/>
  <c r="J373" i="156"/>
  <c r="F371" i="156"/>
  <c r="F372" i="156"/>
  <c r="F373" i="156"/>
  <c r="C370" i="156"/>
  <c r="E360" i="156"/>
  <c r="D150" i="37" s="1"/>
  <c r="G360" i="156"/>
  <c r="F150" i="37" s="1"/>
  <c r="I360" i="156"/>
  <c r="H150" i="37" s="1"/>
  <c r="C360" i="156"/>
  <c r="B150" i="37" s="1"/>
  <c r="E358" i="156"/>
  <c r="D148" i="37" s="1"/>
  <c r="G358" i="156"/>
  <c r="F148" i="37" s="1"/>
  <c r="I358" i="156"/>
  <c r="H148" i="37" s="1"/>
  <c r="C358" i="156"/>
  <c r="B148" i="37" s="1"/>
  <c r="E345" i="156"/>
  <c r="I345" i="156"/>
  <c r="F346" i="156"/>
  <c r="F358" i="156" s="1"/>
  <c r="E148" i="37" s="1"/>
  <c r="F347" i="156"/>
  <c r="F348" i="156"/>
  <c r="F360" i="156" s="1"/>
  <c r="E150" i="37" s="1"/>
  <c r="J346" i="156"/>
  <c r="J358" i="156" s="1"/>
  <c r="I148" i="37" s="1"/>
  <c r="J347" i="156"/>
  <c r="J348" i="156"/>
  <c r="J360" i="156" s="1"/>
  <c r="I150" i="37" s="1"/>
  <c r="C345" i="156"/>
  <c r="E334" i="156"/>
  <c r="D136" i="37" s="1"/>
  <c r="G334" i="156"/>
  <c r="F136" i="37" s="1"/>
  <c r="I334" i="156"/>
  <c r="H136" i="37" s="1"/>
  <c r="C334" i="156"/>
  <c r="B136" i="37" s="1"/>
  <c r="E332" i="156"/>
  <c r="D134" i="37" s="1"/>
  <c r="G332" i="156"/>
  <c r="F134" i="37" s="1"/>
  <c r="I332" i="156"/>
  <c r="H134" i="37" s="1"/>
  <c r="C332" i="156"/>
  <c r="B134" i="37" s="1"/>
  <c r="I317" i="156"/>
  <c r="J320" i="156"/>
  <c r="J334" i="156" s="1"/>
  <c r="I136" i="37" s="1"/>
  <c r="E317" i="156"/>
  <c r="F318" i="156"/>
  <c r="F332" i="156" s="1"/>
  <c r="E134" i="37" s="1"/>
  <c r="F319" i="156"/>
  <c r="F320" i="156"/>
  <c r="F334" i="156" s="1"/>
  <c r="E136" i="37" s="1"/>
  <c r="C317" i="156"/>
  <c r="E306" i="156"/>
  <c r="D111" i="37" s="1"/>
  <c r="G306" i="156"/>
  <c r="F111" i="37" s="1"/>
  <c r="I306" i="156"/>
  <c r="H111" i="37" s="1"/>
  <c r="C306" i="156"/>
  <c r="B111" i="37" s="1"/>
  <c r="E304" i="156"/>
  <c r="D109" i="37" s="1"/>
  <c r="G304" i="156"/>
  <c r="F109" i="37" s="1"/>
  <c r="I304" i="156"/>
  <c r="H109" i="37" s="1"/>
  <c r="C304" i="156"/>
  <c r="B109" i="37" s="1"/>
  <c r="E290" i="156"/>
  <c r="G290" i="156"/>
  <c r="I290" i="156"/>
  <c r="J291" i="156"/>
  <c r="J304" i="156" s="1"/>
  <c r="I109" i="37" s="1"/>
  <c r="J292" i="156"/>
  <c r="J293" i="156"/>
  <c r="J306" i="156" s="1"/>
  <c r="I111" i="37" s="1"/>
  <c r="F291" i="156"/>
  <c r="F304" i="156" s="1"/>
  <c r="E109" i="37" s="1"/>
  <c r="F292" i="156"/>
  <c r="F293" i="156"/>
  <c r="F306" i="156" s="1"/>
  <c r="E111" i="37" s="1"/>
  <c r="E279" i="156"/>
  <c r="D71" i="37" s="1"/>
  <c r="G279" i="156"/>
  <c r="F71" i="37" s="1"/>
  <c r="I279" i="156"/>
  <c r="H71" i="37" s="1"/>
  <c r="C279" i="156"/>
  <c r="B71" i="37" s="1"/>
  <c r="E277" i="156"/>
  <c r="D69" i="37" s="1"/>
  <c r="G277" i="156"/>
  <c r="F69" i="37" s="1"/>
  <c r="I277" i="156"/>
  <c r="H69" i="37" s="1"/>
  <c r="C277" i="156"/>
  <c r="B69" i="37" s="1"/>
  <c r="E262" i="156"/>
  <c r="G262" i="156"/>
  <c r="I262" i="156"/>
  <c r="F264" i="156"/>
  <c r="F265" i="156"/>
  <c r="F279" i="156" s="1"/>
  <c r="E71" i="37" s="1"/>
  <c r="F263" i="156"/>
  <c r="F277" i="156" s="1"/>
  <c r="E69" i="37" s="1"/>
  <c r="J264" i="156"/>
  <c r="J265" i="156"/>
  <c r="J279" i="156" s="1"/>
  <c r="I71" i="37" s="1"/>
  <c r="J263" i="156"/>
  <c r="J277" i="156" s="1"/>
  <c r="I69" i="37" s="1"/>
  <c r="D16" i="37"/>
  <c r="F16" i="37"/>
  <c r="B16" i="37"/>
  <c r="D15" i="37"/>
  <c r="F15" i="37"/>
  <c r="B15" i="37"/>
  <c r="E247" i="156"/>
  <c r="C247" i="156"/>
  <c r="B14" i="37" s="1"/>
  <c r="E235" i="156"/>
  <c r="I235" i="156"/>
  <c r="C235" i="156"/>
  <c r="J236" i="156"/>
  <c r="E226" i="156"/>
  <c r="I226" i="156"/>
  <c r="J227" i="156"/>
  <c r="F227" i="156"/>
  <c r="C226" i="156"/>
  <c r="G204" i="156"/>
  <c r="E204" i="156"/>
  <c r="I204" i="156"/>
  <c r="H204" i="156"/>
  <c r="F205" i="156"/>
  <c r="J193" i="156"/>
  <c r="F193" i="156"/>
  <c r="J182" i="156"/>
  <c r="F182" i="156"/>
  <c r="C180" i="156"/>
  <c r="J172" i="156"/>
  <c r="F172" i="156"/>
  <c r="J162" i="156"/>
  <c r="F162" i="156"/>
  <c r="E160" i="156"/>
  <c r="C160" i="156"/>
  <c r="E150" i="156"/>
  <c r="I150" i="156"/>
  <c r="F152" i="156"/>
  <c r="E141" i="156"/>
  <c r="G141" i="156"/>
  <c r="J142" i="156"/>
  <c r="F142" i="156"/>
  <c r="E130" i="156"/>
  <c r="G130" i="156"/>
  <c r="I130" i="156"/>
  <c r="J131" i="156"/>
  <c r="J133" i="156"/>
  <c r="F131" i="156"/>
  <c r="F132" i="156"/>
  <c r="F133" i="156"/>
  <c r="F117" i="156"/>
  <c r="E118" i="156"/>
  <c r="I118" i="156"/>
  <c r="J106" i="156"/>
  <c r="J108" i="156"/>
  <c r="J109" i="156"/>
  <c r="J110" i="156"/>
  <c r="F108" i="156"/>
  <c r="F110" i="156"/>
  <c r="J96" i="156"/>
  <c r="J97" i="156"/>
  <c r="J95" i="156"/>
  <c r="E94" i="156"/>
  <c r="F96" i="156"/>
  <c r="F97" i="156"/>
  <c r="F95" i="156"/>
  <c r="G94" i="156"/>
  <c r="I94" i="156"/>
  <c r="E83" i="156"/>
  <c r="G83" i="156"/>
  <c r="H83" i="156"/>
  <c r="F84" i="156"/>
  <c r="E74" i="156"/>
  <c r="G74" i="156"/>
  <c r="I74" i="156"/>
  <c r="H74" i="156"/>
  <c r="E65" i="156"/>
  <c r="G65" i="156"/>
  <c r="J66" i="156"/>
  <c r="F66" i="156"/>
  <c r="I54" i="156"/>
  <c r="F56" i="156"/>
  <c r="F46" i="156"/>
  <c r="J46" i="156"/>
  <c r="G33" i="156"/>
  <c r="C33" i="156"/>
  <c r="J34" i="156"/>
  <c r="E24" i="156"/>
  <c r="D247" i="37" s="1"/>
  <c r="I24" i="156"/>
  <c r="C24" i="156"/>
  <c r="B247" i="37" s="1"/>
  <c r="I23" i="156"/>
  <c r="G23" i="156"/>
  <c r="F246" i="37" s="1"/>
  <c r="E13" i="156"/>
  <c r="E23" i="156" s="1"/>
  <c r="D246" i="37" s="1"/>
  <c r="C13" i="156"/>
  <c r="C23" i="156" s="1"/>
  <c r="B246" i="37" s="1"/>
  <c r="C10" i="156"/>
  <c r="C246" i="37"/>
  <c r="J152" i="156" l="1"/>
  <c r="H249" i="156"/>
  <c r="B257" i="37"/>
  <c r="D259" i="37"/>
  <c r="F259" i="37"/>
  <c r="B259" i="37"/>
  <c r="H332" i="156"/>
  <c r="J318" i="156"/>
  <c r="J332" i="156" s="1"/>
  <c r="I134" i="37" s="1"/>
  <c r="J383" i="156"/>
  <c r="H395" i="156"/>
  <c r="J385" i="156"/>
  <c r="H397" i="156"/>
  <c r="D14" i="37"/>
  <c r="H246" i="37"/>
  <c r="H247" i="37"/>
  <c r="H15" i="37"/>
  <c r="H16" i="37"/>
  <c r="H259" i="37" s="1"/>
  <c r="H14" i="37"/>
  <c r="H54" i="156"/>
  <c r="F385" i="156"/>
  <c r="F384" i="156"/>
  <c r="F396" i="156"/>
  <c r="F236" i="156"/>
  <c r="F109" i="156"/>
  <c r="F107" i="156"/>
  <c r="C26" i="156"/>
  <c r="B249" i="37" s="1"/>
  <c r="H107" i="156"/>
  <c r="F382" i="156"/>
  <c r="F383" i="156"/>
  <c r="H382" i="156"/>
  <c r="H370" i="156"/>
  <c r="F370" i="156"/>
  <c r="J372" i="156"/>
  <c r="H358" i="156"/>
  <c r="C148" i="37"/>
  <c r="H360" i="156"/>
  <c r="C150" i="37"/>
  <c r="H345" i="156"/>
  <c r="F345" i="156"/>
  <c r="H334" i="156"/>
  <c r="C136" i="37"/>
  <c r="C134" i="37"/>
  <c r="H317" i="156"/>
  <c r="C109" i="37"/>
  <c r="H306" i="156"/>
  <c r="H304" i="156"/>
  <c r="C111" i="37"/>
  <c r="H290" i="156"/>
  <c r="C71" i="37"/>
  <c r="H279" i="156"/>
  <c r="H277" i="156"/>
  <c r="C69" i="37"/>
  <c r="H235" i="156"/>
  <c r="H226" i="156"/>
  <c r="F226" i="156"/>
  <c r="F204" i="156"/>
  <c r="J204" i="156"/>
  <c r="F192" i="156"/>
  <c r="J205" i="156"/>
  <c r="F141" i="156"/>
  <c r="H141" i="156"/>
  <c r="H94" i="156"/>
  <c r="F34" i="156"/>
  <c r="J84" i="156"/>
  <c r="J83" i="156"/>
  <c r="J74" i="156"/>
  <c r="F74" i="156"/>
  <c r="J75" i="156"/>
  <c r="F75" i="156"/>
  <c r="F65" i="156"/>
  <c r="H65" i="156"/>
  <c r="F33" i="156"/>
  <c r="J56" i="156"/>
  <c r="H24" i="156"/>
  <c r="G247" i="37" s="1"/>
  <c r="E26" i="156"/>
  <c r="D249" i="37" s="1"/>
  <c r="C247" i="37"/>
  <c r="H33" i="156"/>
  <c r="H13" i="156"/>
  <c r="G136" i="37" l="1"/>
  <c r="G150" i="37"/>
  <c r="J226" i="156"/>
  <c r="G71" i="37"/>
  <c r="G109" i="37"/>
  <c r="G148" i="37"/>
  <c r="J235" i="156"/>
  <c r="G111" i="37"/>
  <c r="G134" i="37"/>
  <c r="G69" i="37"/>
  <c r="J33" i="156"/>
  <c r="J141" i="156"/>
  <c r="G16" i="37"/>
  <c r="D257" i="37"/>
  <c r="H257" i="37"/>
  <c r="J370" i="156"/>
  <c r="J382" i="156"/>
  <c r="J192" i="156"/>
  <c r="J65" i="156"/>
  <c r="J290" i="156"/>
  <c r="J107" i="156"/>
  <c r="H23" i="156"/>
  <c r="G246" i="37" s="1"/>
  <c r="C16" i="37"/>
  <c r="F249" i="156"/>
  <c r="E16" i="37" s="1"/>
  <c r="I247" i="37"/>
  <c r="C237" i="37"/>
  <c r="F395" i="156"/>
  <c r="E237" i="37" s="1"/>
  <c r="G237" i="37"/>
  <c r="J395" i="156"/>
  <c r="I237" i="37" s="1"/>
  <c r="G239" i="37"/>
  <c r="J397" i="156"/>
  <c r="I239" i="37" s="1"/>
  <c r="C239" i="37"/>
  <c r="F397" i="156"/>
  <c r="E239" i="37" s="1"/>
  <c r="J249" i="156"/>
  <c r="I16" i="37" s="1"/>
  <c r="F317" i="156"/>
  <c r="F290" i="156"/>
  <c r="F235" i="156"/>
  <c r="F94" i="156"/>
  <c r="J94" i="156"/>
  <c r="F83" i="156"/>
  <c r="C259" i="37" l="1"/>
  <c r="E259" i="37" s="1"/>
  <c r="G259" i="37"/>
  <c r="I246" i="37"/>
  <c r="F22" i="57"/>
  <c r="F196" i="37" s="1"/>
  <c r="F23" i="57"/>
  <c r="F197" i="37" s="1"/>
  <c r="F24" i="57"/>
  <c r="F198" i="37" s="1"/>
  <c r="F25" i="57"/>
  <c r="F199" i="37" s="1"/>
  <c r="H9" i="57"/>
  <c r="F9" i="57"/>
  <c r="F22" i="46"/>
  <c r="F52" i="37" s="1"/>
  <c r="F23" i="46"/>
  <c r="F53" i="37" s="1"/>
  <c r="F24" i="46"/>
  <c r="F54" i="37" s="1"/>
  <c r="F25" i="46"/>
  <c r="F55" i="37" s="1"/>
  <c r="H9" i="46"/>
  <c r="F9" i="46"/>
  <c r="G360" i="157"/>
  <c r="F220" i="37" s="1"/>
  <c r="G361" i="157"/>
  <c r="F221" i="37" s="1"/>
  <c r="G362" i="157"/>
  <c r="F222" i="37" s="1"/>
  <c r="G363" i="157"/>
  <c r="F223" i="37" s="1"/>
  <c r="I347" i="157"/>
  <c r="I357" i="157" s="1"/>
  <c r="G347" i="157"/>
  <c r="G357" i="157" s="1"/>
  <c r="G335" i="157"/>
  <c r="F208" i="37" s="1"/>
  <c r="G336" i="157"/>
  <c r="F209" i="37" s="1"/>
  <c r="G337" i="157"/>
  <c r="F210" i="37" s="1"/>
  <c r="G338" i="157"/>
  <c r="F211" i="37" s="1"/>
  <c r="I322" i="157"/>
  <c r="I332" i="157" s="1"/>
  <c r="G322" i="157"/>
  <c r="G312" i="157"/>
  <c r="F186" i="37" s="1"/>
  <c r="G311" i="157"/>
  <c r="F185" i="37" s="1"/>
  <c r="G310" i="157"/>
  <c r="F184" i="37" s="1"/>
  <c r="G309" i="157"/>
  <c r="F183" i="37" s="1"/>
  <c r="I295" i="157"/>
  <c r="I306" i="157" s="1"/>
  <c r="G295" i="157"/>
  <c r="G284" i="157"/>
  <c r="F172" i="37" s="1"/>
  <c r="G283" i="157"/>
  <c r="F171" i="37" s="1"/>
  <c r="G282" i="157"/>
  <c r="F170" i="37" s="1"/>
  <c r="G281" i="157"/>
  <c r="F169" i="37" s="1"/>
  <c r="I266" i="157"/>
  <c r="I278" i="157" s="1"/>
  <c r="G266" i="157"/>
  <c r="G255" i="157"/>
  <c r="F158" i="37" s="1"/>
  <c r="G254" i="157"/>
  <c r="F157" i="37" s="1"/>
  <c r="G253" i="157"/>
  <c r="F156" i="37" s="1"/>
  <c r="G252" i="157"/>
  <c r="F155" i="37" s="1"/>
  <c r="J239" i="157"/>
  <c r="J253" i="157" s="1"/>
  <c r="I156" i="37" s="1"/>
  <c r="J240" i="157"/>
  <c r="J254" i="157" s="1"/>
  <c r="I157" i="37" s="1"/>
  <c r="J241" i="157"/>
  <c r="J255" i="157" s="1"/>
  <c r="I158" i="37" s="1"/>
  <c r="J238" i="157"/>
  <c r="J252" i="157" s="1"/>
  <c r="I155" i="37" s="1"/>
  <c r="I237" i="157"/>
  <c r="I249" i="157" s="1"/>
  <c r="G237" i="157"/>
  <c r="G228" i="157"/>
  <c r="F120" i="37" s="1"/>
  <c r="G227" i="157"/>
  <c r="F119" i="37" s="1"/>
  <c r="G226" i="157"/>
  <c r="F118" i="37" s="1"/>
  <c r="G225" i="157"/>
  <c r="F117" i="37" s="1"/>
  <c r="I212" i="157"/>
  <c r="I222" i="157" s="1"/>
  <c r="G212" i="157"/>
  <c r="G222" i="157" s="1"/>
  <c r="G202" i="157"/>
  <c r="F94" i="37" s="1"/>
  <c r="G201" i="157"/>
  <c r="F93" i="37" s="1"/>
  <c r="G200" i="157"/>
  <c r="F92" i="37" s="1"/>
  <c r="G199" i="157"/>
  <c r="F91" i="37" s="1"/>
  <c r="I185" i="157"/>
  <c r="I196" i="157" s="1"/>
  <c r="G185" i="157"/>
  <c r="I174" i="157"/>
  <c r="I173" i="157"/>
  <c r="I172" i="157"/>
  <c r="I171" i="157"/>
  <c r="G174" i="157"/>
  <c r="F80" i="37" s="1"/>
  <c r="G173" i="157"/>
  <c r="F79" i="37" s="1"/>
  <c r="G172" i="157"/>
  <c r="F78" i="37" s="1"/>
  <c r="G171" i="157"/>
  <c r="F77" i="37" s="1"/>
  <c r="I161" i="157"/>
  <c r="I168" i="157" s="1"/>
  <c r="G161" i="157"/>
  <c r="G168" i="157" s="1"/>
  <c r="J163" i="157"/>
  <c r="J162" i="157"/>
  <c r="I146" i="157"/>
  <c r="I158" i="157" s="1"/>
  <c r="G146" i="157"/>
  <c r="J148" i="157"/>
  <c r="J147" i="157"/>
  <c r="I135" i="157"/>
  <c r="H41" i="37" s="1"/>
  <c r="J135" i="157"/>
  <c r="I41" i="37" s="1"/>
  <c r="G135" i="157"/>
  <c r="F41" i="37" s="1"/>
  <c r="I134" i="157"/>
  <c r="H40" i="37" s="1"/>
  <c r="G134" i="157"/>
  <c r="F40" i="37" s="1"/>
  <c r="I133" i="157"/>
  <c r="H39" i="37" s="1"/>
  <c r="G133" i="157"/>
  <c r="F39" i="37" s="1"/>
  <c r="I132" i="157"/>
  <c r="H38" i="37" s="1"/>
  <c r="G132" i="157"/>
  <c r="F38" i="37" s="1"/>
  <c r="H135" i="157"/>
  <c r="I117" i="157"/>
  <c r="I129" i="157" s="1"/>
  <c r="G117" i="157"/>
  <c r="I102" i="157"/>
  <c r="I103" i="157"/>
  <c r="I104" i="157"/>
  <c r="I105" i="157"/>
  <c r="G105" i="157"/>
  <c r="F27" i="37" s="1"/>
  <c r="G104" i="157"/>
  <c r="F26" i="37" s="1"/>
  <c r="G103" i="157"/>
  <c r="F25" i="37" s="1"/>
  <c r="G102" i="157"/>
  <c r="F24" i="37" s="1"/>
  <c r="I93" i="157"/>
  <c r="G93" i="157"/>
  <c r="G99" i="157" s="1"/>
  <c r="J95" i="157"/>
  <c r="J94" i="157"/>
  <c r="J82" i="157"/>
  <c r="J81" i="157"/>
  <c r="I80" i="157"/>
  <c r="I90" i="157" s="1"/>
  <c r="J72" i="157"/>
  <c r="G71" i="157"/>
  <c r="G77" i="157" s="1"/>
  <c r="I71" i="157"/>
  <c r="I77" i="157" s="1"/>
  <c r="J73" i="157"/>
  <c r="J63" i="157"/>
  <c r="J61" i="157"/>
  <c r="J60" i="157"/>
  <c r="G59" i="157"/>
  <c r="I62" i="157"/>
  <c r="I106" i="157" s="1"/>
  <c r="G62" i="157"/>
  <c r="I59" i="157"/>
  <c r="I99" i="157" l="1"/>
  <c r="G41" i="37"/>
  <c r="I259" i="37"/>
  <c r="G196" i="157"/>
  <c r="G209" i="157" s="1"/>
  <c r="F101" i="37" s="1"/>
  <c r="G249" i="157"/>
  <c r="G263" i="157" s="1"/>
  <c r="F166" i="37" s="1"/>
  <c r="G306" i="157"/>
  <c r="G319" i="157" s="1"/>
  <c r="F193" i="37" s="1"/>
  <c r="G334" i="157"/>
  <c r="F207" i="37" s="1"/>
  <c r="G332" i="157"/>
  <c r="F19" i="46"/>
  <c r="G106" i="157"/>
  <c r="F28" i="37" s="1"/>
  <c r="G68" i="157"/>
  <c r="G158" i="157"/>
  <c r="G182" i="157" s="1"/>
  <c r="F88" i="37" s="1"/>
  <c r="G278" i="157"/>
  <c r="G292" i="157" s="1"/>
  <c r="F180" i="37" s="1"/>
  <c r="G129" i="157"/>
  <c r="G143" i="157" s="1"/>
  <c r="F49" i="37" s="1"/>
  <c r="F19" i="57"/>
  <c r="F31" i="57" s="1"/>
  <c r="F205" i="37" s="1"/>
  <c r="H21" i="57"/>
  <c r="H195" i="37" s="1"/>
  <c r="H19" i="57"/>
  <c r="H31" i="57" s="1"/>
  <c r="H205" i="37" s="1"/>
  <c r="H21" i="46"/>
  <c r="H51" i="37" s="1"/>
  <c r="H19" i="46"/>
  <c r="I68" i="157"/>
  <c r="G234" i="157"/>
  <c r="F126" i="37" s="1"/>
  <c r="F21" i="46"/>
  <c r="F51" i="37" s="1"/>
  <c r="F21" i="57"/>
  <c r="F195" i="37" s="1"/>
  <c r="H134" i="157"/>
  <c r="J120" i="157"/>
  <c r="J134" i="157" s="1"/>
  <c r="I40" i="37" s="1"/>
  <c r="H173" i="157"/>
  <c r="J149" i="157"/>
  <c r="H200" i="157"/>
  <c r="J187" i="157"/>
  <c r="J200" i="157" s="1"/>
  <c r="I92" i="37" s="1"/>
  <c r="H226" i="157"/>
  <c r="J214" i="157"/>
  <c r="J226" i="157" s="1"/>
  <c r="I118" i="37" s="1"/>
  <c r="H284" i="157"/>
  <c r="J270" i="157"/>
  <c r="J284" i="157" s="1"/>
  <c r="I172" i="37" s="1"/>
  <c r="H312" i="157"/>
  <c r="J299" i="157"/>
  <c r="J312" i="157" s="1"/>
  <c r="I186" i="37" s="1"/>
  <c r="H337" i="157"/>
  <c r="J325" i="157"/>
  <c r="J337" i="157" s="1"/>
  <c r="I210" i="37" s="1"/>
  <c r="H360" i="157"/>
  <c r="J348" i="157"/>
  <c r="H133" i="157"/>
  <c r="J119" i="157"/>
  <c r="J133" i="157" s="1"/>
  <c r="I39" i="37" s="1"/>
  <c r="H199" i="157"/>
  <c r="J186" i="157"/>
  <c r="J199" i="157" s="1"/>
  <c r="I91" i="37" s="1"/>
  <c r="H225" i="157"/>
  <c r="J213" i="157"/>
  <c r="J225" i="157" s="1"/>
  <c r="I117" i="37" s="1"/>
  <c r="H283" i="157"/>
  <c r="J269" i="157"/>
  <c r="J283" i="157" s="1"/>
  <c r="I171" i="37" s="1"/>
  <c r="H311" i="157"/>
  <c r="J298" i="157"/>
  <c r="J311" i="157" s="1"/>
  <c r="I185" i="37" s="1"/>
  <c r="H336" i="157"/>
  <c r="J324" i="157"/>
  <c r="J336" i="157" s="1"/>
  <c r="I209" i="37" s="1"/>
  <c r="H361" i="157"/>
  <c r="J349" i="157"/>
  <c r="H132" i="157"/>
  <c r="J118" i="157"/>
  <c r="J132" i="157" s="1"/>
  <c r="I38" i="37" s="1"/>
  <c r="H228" i="157"/>
  <c r="J216" i="157"/>
  <c r="J228" i="157" s="1"/>
  <c r="I120" i="37" s="1"/>
  <c r="H282" i="157"/>
  <c r="J268" i="157"/>
  <c r="J282" i="157" s="1"/>
  <c r="I170" i="37" s="1"/>
  <c r="H310" i="157"/>
  <c r="J297" i="157"/>
  <c r="J310" i="157" s="1"/>
  <c r="I184" i="37" s="1"/>
  <c r="H174" i="157"/>
  <c r="J150" i="157"/>
  <c r="H79" i="37"/>
  <c r="H201" i="157"/>
  <c r="J188" i="157"/>
  <c r="J201" i="157" s="1"/>
  <c r="I93" i="37" s="1"/>
  <c r="H227" i="157"/>
  <c r="J215" i="157"/>
  <c r="J227" i="157" s="1"/>
  <c r="I119" i="37" s="1"/>
  <c r="H281" i="157"/>
  <c r="J267" i="157"/>
  <c r="J281" i="157" s="1"/>
  <c r="I169" i="37" s="1"/>
  <c r="H309" i="157"/>
  <c r="J296" i="157"/>
  <c r="J309" i="157" s="1"/>
  <c r="I183" i="37" s="1"/>
  <c r="H335" i="157"/>
  <c r="J323" i="157"/>
  <c r="J335" i="157" s="1"/>
  <c r="I208" i="37" s="1"/>
  <c r="I334" i="157"/>
  <c r="H207" i="37" s="1"/>
  <c r="I308" i="157"/>
  <c r="H182" i="37" s="1"/>
  <c r="I251" i="157"/>
  <c r="H154" i="37" s="1"/>
  <c r="I224" i="157"/>
  <c r="H116" i="37" s="1"/>
  <c r="H80" i="37"/>
  <c r="H78" i="37"/>
  <c r="H77" i="37"/>
  <c r="H28" i="37"/>
  <c r="H27" i="37"/>
  <c r="H26" i="37"/>
  <c r="H25" i="37"/>
  <c r="H24" i="37"/>
  <c r="I280" i="157"/>
  <c r="H168" i="37" s="1"/>
  <c r="I198" i="157"/>
  <c r="H90" i="37" s="1"/>
  <c r="G359" i="157"/>
  <c r="F219" i="37" s="1"/>
  <c r="G369" i="157"/>
  <c r="F229" i="37" s="1"/>
  <c r="I359" i="157"/>
  <c r="I10" i="57"/>
  <c r="I22" i="57" s="1"/>
  <c r="I196" i="37" s="1"/>
  <c r="G22" i="57"/>
  <c r="G196" i="37" s="1"/>
  <c r="G24" i="57"/>
  <c r="G198" i="37" s="1"/>
  <c r="I12" i="57"/>
  <c r="I24" i="57" s="1"/>
  <c r="I198" i="37" s="1"/>
  <c r="I11" i="57"/>
  <c r="I23" i="57" s="1"/>
  <c r="I197" i="37" s="1"/>
  <c r="G23" i="57"/>
  <c r="G197" i="37" s="1"/>
  <c r="G22" i="46"/>
  <c r="G52" i="37" s="1"/>
  <c r="I10" i="46"/>
  <c r="I22" i="46" s="1"/>
  <c r="I52" i="37" s="1"/>
  <c r="G24" i="46"/>
  <c r="G54" i="37" s="1"/>
  <c r="I24" i="46"/>
  <c r="I54" i="37" s="1"/>
  <c r="I11" i="46"/>
  <c r="I23" i="46" s="1"/>
  <c r="I53" i="37" s="1"/>
  <c r="G23" i="46"/>
  <c r="G53" i="37" s="1"/>
  <c r="H71" i="157"/>
  <c r="G14" i="57"/>
  <c r="H252" i="157"/>
  <c r="H255" i="157"/>
  <c r="H254" i="157"/>
  <c r="H253" i="157"/>
  <c r="H171" i="157"/>
  <c r="I131" i="157"/>
  <c r="H37" i="37" s="1"/>
  <c r="H190" i="157"/>
  <c r="H172" i="157"/>
  <c r="H84" i="157"/>
  <c r="G131" i="157"/>
  <c r="F37" i="37" s="1"/>
  <c r="G198" i="157"/>
  <c r="F90" i="37" s="1"/>
  <c r="G308" i="157"/>
  <c r="F182" i="37" s="1"/>
  <c r="G344" i="157"/>
  <c r="F217" i="37" s="1"/>
  <c r="H347" i="157"/>
  <c r="I170" i="157"/>
  <c r="G170" i="157"/>
  <c r="F76" i="37" s="1"/>
  <c r="H185" i="157"/>
  <c r="G224" i="157"/>
  <c r="F116" i="37" s="1"/>
  <c r="G251" i="157"/>
  <c r="F154" i="37" s="1"/>
  <c r="G280" i="157"/>
  <c r="F168" i="37" s="1"/>
  <c r="H62" i="157"/>
  <c r="G9" i="57"/>
  <c r="G9" i="46"/>
  <c r="H322" i="157"/>
  <c r="H295" i="157"/>
  <c r="H266" i="157"/>
  <c r="H237" i="157"/>
  <c r="H212" i="157"/>
  <c r="H161" i="157"/>
  <c r="H146" i="157"/>
  <c r="H117" i="157"/>
  <c r="H93" i="157"/>
  <c r="J93" i="157" s="1"/>
  <c r="H80" i="157"/>
  <c r="H59" i="157"/>
  <c r="J50" i="157"/>
  <c r="J49" i="157"/>
  <c r="J40" i="157"/>
  <c r="J39" i="157"/>
  <c r="I48" i="157"/>
  <c r="I56" i="157" s="1"/>
  <c r="G48" i="157"/>
  <c r="G56" i="157" s="1"/>
  <c r="I38" i="157"/>
  <c r="I45" i="157" s="1"/>
  <c r="G38" i="157"/>
  <c r="G45" i="157" s="1"/>
  <c r="J26" i="157"/>
  <c r="J28" i="157"/>
  <c r="I24" i="157"/>
  <c r="I35" i="157" s="1"/>
  <c r="G24" i="157"/>
  <c r="G35" i="157" s="1"/>
  <c r="I10" i="157"/>
  <c r="I21" i="157" s="1"/>
  <c r="G10" i="157"/>
  <c r="G21" i="157" s="1"/>
  <c r="J11" i="157"/>
  <c r="I396" i="156"/>
  <c r="H238" i="37" s="1"/>
  <c r="I393" i="156"/>
  <c r="H235" i="37" s="1"/>
  <c r="G393" i="156"/>
  <c r="F235" i="37" s="1"/>
  <c r="I392" i="156"/>
  <c r="H234" i="37" s="1"/>
  <c r="G392" i="156"/>
  <c r="F234" i="37" s="1"/>
  <c r="I391" i="156"/>
  <c r="H233" i="37" s="1"/>
  <c r="G391" i="156"/>
  <c r="F233" i="37" s="1"/>
  <c r="I390" i="156"/>
  <c r="H232" i="37" s="1"/>
  <c r="G390" i="156"/>
  <c r="F232" i="37" s="1"/>
  <c r="I377" i="156"/>
  <c r="I387" i="156" s="1"/>
  <c r="G377" i="156"/>
  <c r="G387" i="156" s="1"/>
  <c r="J380" i="156"/>
  <c r="J381" i="156"/>
  <c r="J378" i="156"/>
  <c r="I365" i="156"/>
  <c r="G365" i="156"/>
  <c r="G375" i="156" s="1"/>
  <c r="J367" i="156"/>
  <c r="J369" i="156"/>
  <c r="J366" i="156"/>
  <c r="I353" i="156"/>
  <c r="H143" i="37" s="1"/>
  <c r="I354" i="156"/>
  <c r="H144" i="37" s="1"/>
  <c r="I355" i="156"/>
  <c r="H145" i="37" s="1"/>
  <c r="I356" i="156"/>
  <c r="H146" i="37" s="1"/>
  <c r="I359" i="156"/>
  <c r="H149" i="37" s="1"/>
  <c r="G353" i="156"/>
  <c r="F143" i="37" s="1"/>
  <c r="G354" i="156"/>
  <c r="F144" i="37" s="1"/>
  <c r="G355" i="156"/>
  <c r="F145" i="37" s="1"/>
  <c r="G356" i="156"/>
  <c r="F146" i="37" s="1"/>
  <c r="G359" i="156"/>
  <c r="F149" i="37" s="1"/>
  <c r="I357" i="156"/>
  <c r="H147" i="37" s="1"/>
  <c r="G357" i="156"/>
  <c r="F147" i="37" s="1"/>
  <c r="J342" i="156"/>
  <c r="J354" i="156" s="1"/>
  <c r="I144" i="37" s="1"/>
  <c r="H355" i="156"/>
  <c r="J344" i="156"/>
  <c r="J356" i="156" s="1"/>
  <c r="I146" i="37" s="1"/>
  <c r="H359" i="156"/>
  <c r="J341" i="156"/>
  <c r="J353" i="156" s="1"/>
  <c r="I143" i="37" s="1"/>
  <c r="I340" i="156"/>
  <c r="I350" i="156" s="1"/>
  <c r="G340" i="156"/>
  <c r="I327" i="156"/>
  <c r="H129" i="37" s="1"/>
  <c r="I328" i="156"/>
  <c r="H130" i="37" s="1"/>
  <c r="I329" i="156"/>
  <c r="H131" i="37" s="1"/>
  <c r="I330" i="156"/>
  <c r="H132" i="37" s="1"/>
  <c r="I333" i="156"/>
  <c r="H135" i="37" s="1"/>
  <c r="G327" i="156"/>
  <c r="F129" i="37" s="1"/>
  <c r="G328" i="156"/>
  <c r="F130" i="37" s="1"/>
  <c r="G329" i="156"/>
  <c r="F131" i="37" s="1"/>
  <c r="G330" i="156"/>
  <c r="F132" i="37" s="1"/>
  <c r="G333" i="156"/>
  <c r="F135" i="37" s="1"/>
  <c r="G331" i="156"/>
  <c r="J314" i="156"/>
  <c r="J328" i="156" s="1"/>
  <c r="I130" i="37" s="1"/>
  <c r="J315" i="156"/>
  <c r="J329" i="156" s="1"/>
  <c r="I131" i="37" s="1"/>
  <c r="J316" i="156"/>
  <c r="J330" i="156" s="1"/>
  <c r="I132" i="37" s="1"/>
  <c r="H333" i="156"/>
  <c r="J313" i="156"/>
  <c r="J327" i="156" s="1"/>
  <c r="I129" i="37" s="1"/>
  <c r="I312" i="156"/>
  <c r="I324" i="156" s="1"/>
  <c r="G312" i="156"/>
  <c r="G324" i="156" s="1"/>
  <c r="I299" i="156"/>
  <c r="H104" i="37" s="1"/>
  <c r="I300" i="156"/>
  <c r="H105" i="37" s="1"/>
  <c r="I301" i="156"/>
  <c r="H106" i="37" s="1"/>
  <c r="I302" i="156"/>
  <c r="H107" i="37" s="1"/>
  <c r="I305" i="156"/>
  <c r="H110" i="37" s="1"/>
  <c r="G299" i="156"/>
  <c r="F104" i="37" s="1"/>
  <c r="G300" i="156"/>
  <c r="F105" i="37" s="1"/>
  <c r="G301" i="156"/>
  <c r="F106" i="37" s="1"/>
  <c r="G302" i="156"/>
  <c r="F107" i="37" s="1"/>
  <c r="G305" i="156"/>
  <c r="F110" i="37" s="1"/>
  <c r="I303" i="156"/>
  <c r="H108" i="37" s="1"/>
  <c r="G303" i="156"/>
  <c r="F108" i="37" s="1"/>
  <c r="H300" i="156"/>
  <c r="H301" i="156"/>
  <c r="H302" i="156"/>
  <c r="J286" i="156"/>
  <c r="J299" i="156" s="1"/>
  <c r="I104" i="37" s="1"/>
  <c r="I285" i="156"/>
  <c r="I296" i="156" s="1"/>
  <c r="G285" i="156"/>
  <c r="F133" i="37" l="1"/>
  <c r="G107" i="37"/>
  <c r="G149" i="37"/>
  <c r="G106" i="37"/>
  <c r="G105" i="37"/>
  <c r="G135" i="37"/>
  <c r="G145" i="37"/>
  <c r="J84" i="157"/>
  <c r="G21" i="57"/>
  <c r="G195" i="37" s="1"/>
  <c r="G210" i="37"/>
  <c r="G209" i="37"/>
  <c r="G208" i="37"/>
  <c r="G186" i="37"/>
  <c r="G185" i="37"/>
  <c r="G184" i="37"/>
  <c r="G183" i="37"/>
  <c r="G158" i="37"/>
  <c r="G157" i="37"/>
  <c r="G156" i="37"/>
  <c r="G155" i="37"/>
  <c r="G93" i="37"/>
  <c r="G92" i="37"/>
  <c r="H198" i="157"/>
  <c r="G91" i="37"/>
  <c r="G172" i="37"/>
  <c r="G171" i="37"/>
  <c r="G170" i="37"/>
  <c r="G169" i="37"/>
  <c r="H168" i="157"/>
  <c r="G80" i="37"/>
  <c r="G79" i="37"/>
  <c r="G78" i="37"/>
  <c r="H158" i="157"/>
  <c r="G77" i="37"/>
  <c r="G40" i="37"/>
  <c r="G39" i="37"/>
  <c r="G38" i="37"/>
  <c r="G120" i="37"/>
  <c r="G119" i="37"/>
  <c r="G118" i="37"/>
  <c r="H222" i="157"/>
  <c r="G117" i="37"/>
  <c r="J59" i="157"/>
  <c r="H77" i="157"/>
  <c r="F31" i="46"/>
  <c r="F61" i="37" s="1"/>
  <c r="H31" i="46"/>
  <c r="H61" i="37" s="1"/>
  <c r="G19" i="57"/>
  <c r="G21" i="46"/>
  <c r="G51" i="37" s="1"/>
  <c r="G19" i="46"/>
  <c r="G31" i="46" s="1"/>
  <c r="H280" i="157"/>
  <c r="H278" i="157"/>
  <c r="H308" i="157"/>
  <c r="H306" i="157"/>
  <c r="H99" i="157"/>
  <c r="H334" i="157"/>
  <c r="H332" i="157"/>
  <c r="J62" i="157"/>
  <c r="H68" i="157"/>
  <c r="H359" i="157"/>
  <c r="J359" i="157" s="1"/>
  <c r="I219" i="37" s="1"/>
  <c r="H357" i="157"/>
  <c r="H196" i="157"/>
  <c r="J80" i="157"/>
  <c r="H90" i="157"/>
  <c r="J117" i="157"/>
  <c r="J131" i="157" s="1"/>
  <c r="I37" i="37" s="1"/>
  <c r="H129" i="157"/>
  <c r="J237" i="157"/>
  <c r="J251" i="157" s="1"/>
  <c r="I154" i="37" s="1"/>
  <c r="H249" i="157"/>
  <c r="G296" i="156"/>
  <c r="G309" i="156" s="1"/>
  <c r="F114" i="37" s="1"/>
  <c r="G350" i="156"/>
  <c r="G362" i="156" s="1"/>
  <c r="F152" i="37" s="1"/>
  <c r="H224" i="157"/>
  <c r="J174" i="157"/>
  <c r="I80" i="37" s="1"/>
  <c r="I182" i="157"/>
  <c r="H88" i="37" s="1"/>
  <c r="J173" i="157"/>
  <c r="I79" i="37" s="1"/>
  <c r="G326" i="156"/>
  <c r="G338" i="156" s="1"/>
  <c r="J266" i="157"/>
  <c r="J280" i="157" s="1"/>
  <c r="I168" i="37" s="1"/>
  <c r="J171" i="157"/>
  <c r="I77" i="37" s="1"/>
  <c r="J212" i="157"/>
  <c r="J224" i="157" s="1"/>
  <c r="I116" i="37" s="1"/>
  <c r="J295" i="157"/>
  <c r="J308" i="157" s="1"/>
  <c r="I182" i="37" s="1"/>
  <c r="J347" i="157"/>
  <c r="G220" i="37"/>
  <c r="J360" i="157"/>
  <c r="I220" i="37" s="1"/>
  <c r="J146" i="157"/>
  <c r="J172" i="157"/>
  <c r="I78" i="37" s="1"/>
  <c r="J161" i="157"/>
  <c r="J322" i="157"/>
  <c r="J334" i="157" s="1"/>
  <c r="I207" i="37" s="1"/>
  <c r="G221" i="37"/>
  <c r="J361" i="157"/>
  <c r="I221" i="37" s="1"/>
  <c r="H203" i="157"/>
  <c r="J190" i="157"/>
  <c r="J203" i="157" s="1"/>
  <c r="I95" i="37" s="1"/>
  <c r="J185" i="157"/>
  <c r="J198" i="157" s="1"/>
  <c r="I90" i="37" s="1"/>
  <c r="H219" i="37"/>
  <c r="I369" i="157"/>
  <c r="H229" i="37" s="1"/>
  <c r="I344" i="157"/>
  <c r="H217" i="37" s="1"/>
  <c r="I319" i="157"/>
  <c r="H193" i="37" s="1"/>
  <c r="I263" i="157"/>
  <c r="H166" i="37" s="1"/>
  <c r="I234" i="157"/>
  <c r="H126" i="37" s="1"/>
  <c r="H76" i="37"/>
  <c r="I143" i="157"/>
  <c r="H49" i="37" s="1"/>
  <c r="I292" i="157"/>
  <c r="H180" i="37" s="1"/>
  <c r="I209" i="157"/>
  <c r="H101" i="37" s="1"/>
  <c r="J71" i="157"/>
  <c r="I101" i="157"/>
  <c r="H48" i="157"/>
  <c r="I14" i="57"/>
  <c r="I26" i="57" s="1"/>
  <c r="I200" i="37" s="1"/>
  <c r="G26" i="57"/>
  <c r="G200" i="37" s="1"/>
  <c r="I326" i="156"/>
  <c r="I352" i="156"/>
  <c r="H142" i="37" s="1"/>
  <c r="I362" i="156"/>
  <c r="H152" i="37" s="1"/>
  <c r="I389" i="156"/>
  <c r="H231" i="37" s="1"/>
  <c r="G399" i="156"/>
  <c r="F241" i="37" s="1"/>
  <c r="I399" i="156"/>
  <c r="H241" i="37" s="1"/>
  <c r="I298" i="156"/>
  <c r="H103" i="37" s="1"/>
  <c r="I309" i="156"/>
  <c r="H114" i="37" s="1"/>
  <c r="H251" i="157"/>
  <c r="H108" i="157"/>
  <c r="H131" i="157"/>
  <c r="H102" i="157"/>
  <c r="H170" i="157"/>
  <c r="G113" i="157"/>
  <c r="F35" i="37" s="1"/>
  <c r="G101" i="157"/>
  <c r="F23" i="37" s="1"/>
  <c r="I113" i="157"/>
  <c r="H38" i="157"/>
  <c r="J31" i="157"/>
  <c r="H29" i="157"/>
  <c r="J17" i="157"/>
  <c r="H15" i="157"/>
  <c r="J14" i="157"/>
  <c r="H105" i="157"/>
  <c r="J13" i="157"/>
  <c r="H104" i="157"/>
  <c r="J12" i="157"/>
  <c r="H103" i="157"/>
  <c r="H394" i="156"/>
  <c r="H391" i="156"/>
  <c r="H393" i="156"/>
  <c r="H303" i="156"/>
  <c r="J288" i="156"/>
  <c r="J301" i="156" s="1"/>
  <c r="I106" i="37" s="1"/>
  <c r="H305" i="156"/>
  <c r="J319" i="156"/>
  <c r="J333" i="156" s="1"/>
  <c r="I135" i="37" s="1"/>
  <c r="I331" i="156"/>
  <c r="H330" i="156"/>
  <c r="H357" i="156"/>
  <c r="J359" i="156"/>
  <c r="I149" i="37" s="1"/>
  <c r="G352" i="156"/>
  <c r="F142" i="37" s="1"/>
  <c r="H353" i="156"/>
  <c r="J379" i="156"/>
  <c r="G389" i="156"/>
  <c r="F231" i="37" s="1"/>
  <c r="G394" i="156"/>
  <c r="F236" i="37" s="1"/>
  <c r="H396" i="156"/>
  <c r="J305" i="156"/>
  <c r="I110" i="37" s="1"/>
  <c r="J287" i="156"/>
  <c r="J300" i="156" s="1"/>
  <c r="I105" i="37" s="1"/>
  <c r="H327" i="156"/>
  <c r="J345" i="156"/>
  <c r="J357" i="156" s="1"/>
  <c r="I147" i="37" s="1"/>
  <c r="H354" i="156"/>
  <c r="H365" i="156"/>
  <c r="J303" i="156"/>
  <c r="I108" i="37" s="1"/>
  <c r="H331" i="156"/>
  <c r="H328" i="156"/>
  <c r="I394" i="156"/>
  <c r="H236" i="37" s="1"/>
  <c r="J289" i="156"/>
  <c r="J302" i="156" s="1"/>
  <c r="I107" i="37" s="1"/>
  <c r="H329" i="156"/>
  <c r="H356" i="156"/>
  <c r="H390" i="156"/>
  <c r="H392" i="156"/>
  <c r="I9" i="57"/>
  <c r="I21" i="57" s="1"/>
  <c r="I195" i="37" s="1"/>
  <c r="I9" i="46"/>
  <c r="I21" i="46" s="1"/>
  <c r="I51" i="37" s="1"/>
  <c r="H24" i="157"/>
  <c r="J25" i="157"/>
  <c r="H10" i="157"/>
  <c r="H377" i="156"/>
  <c r="H340" i="156"/>
  <c r="J343" i="156"/>
  <c r="J355" i="156" s="1"/>
  <c r="I145" i="37" s="1"/>
  <c r="H312" i="156"/>
  <c r="H285" i="156"/>
  <c r="H299" i="156"/>
  <c r="G298" i="156"/>
  <c r="F103" i="37" s="1"/>
  <c r="H128" i="37" l="1"/>
  <c r="I338" i="156"/>
  <c r="H140" i="37" s="1"/>
  <c r="G133" i="37"/>
  <c r="G132" i="37"/>
  <c r="H296" i="156"/>
  <c r="J296" i="156" s="1"/>
  <c r="J309" i="156" s="1"/>
  <c r="H387" i="156"/>
  <c r="G146" i="37"/>
  <c r="G130" i="37"/>
  <c r="G144" i="37"/>
  <c r="G147" i="37"/>
  <c r="G110" i="37"/>
  <c r="H324" i="156"/>
  <c r="G131" i="37"/>
  <c r="G143" i="37"/>
  <c r="G129" i="37"/>
  <c r="G108" i="37"/>
  <c r="G104" i="37"/>
  <c r="H350" i="156"/>
  <c r="H375" i="156"/>
  <c r="J375" i="156" s="1"/>
  <c r="G95" i="37"/>
  <c r="J77" i="157"/>
  <c r="J15" i="157"/>
  <c r="H369" i="157"/>
  <c r="G219" i="37"/>
  <c r="H344" i="157"/>
  <c r="G207" i="37"/>
  <c r="G182" i="37"/>
  <c r="H319" i="157"/>
  <c r="G154" i="37"/>
  <c r="H263" i="157"/>
  <c r="H209" i="157"/>
  <c r="G90" i="37"/>
  <c r="G168" i="37"/>
  <c r="H292" i="157"/>
  <c r="J168" i="157"/>
  <c r="H182" i="157"/>
  <c r="J158" i="157"/>
  <c r="G76" i="37"/>
  <c r="G37" i="37"/>
  <c r="H143" i="157"/>
  <c r="J222" i="157"/>
  <c r="J234" i="157" s="1"/>
  <c r="I126" i="37" s="1"/>
  <c r="G116" i="37"/>
  <c r="J99" i="157"/>
  <c r="J90" i="157"/>
  <c r="J68" i="157"/>
  <c r="H56" i="157"/>
  <c r="H45" i="157"/>
  <c r="J45" i="157" s="1"/>
  <c r="J24" i="157"/>
  <c r="H35" i="157"/>
  <c r="H21" i="157"/>
  <c r="H234" i="157"/>
  <c r="J249" i="157"/>
  <c r="J263" i="157" s="1"/>
  <c r="I166" i="37" s="1"/>
  <c r="J278" i="157"/>
  <c r="J292" i="157" s="1"/>
  <c r="I180" i="37" s="1"/>
  <c r="J170" i="157"/>
  <c r="I76" i="37" s="1"/>
  <c r="J332" i="157"/>
  <c r="J344" i="157" s="1"/>
  <c r="I217" i="37" s="1"/>
  <c r="J196" i="157"/>
  <c r="J209" i="157" s="1"/>
  <c r="I101" i="37" s="1"/>
  <c r="J129" i="157"/>
  <c r="J143" i="157" s="1"/>
  <c r="I49" i="37" s="1"/>
  <c r="J306" i="157"/>
  <c r="J319" i="157" s="1"/>
  <c r="I193" i="37" s="1"/>
  <c r="J357" i="157"/>
  <c r="J369" i="157" s="1"/>
  <c r="I229" i="37" s="1"/>
  <c r="G26" i="37"/>
  <c r="J104" i="157"/>
  <c r="I26" i="37" s="1"/>
  <c r="G24" i="37"/>
  <c r="J102" i="157"/>
  <c r="I24" i="37" s="1"/>
  <c r="G30" i="37"/>
  <c r="J108" i="157"/>
  <c r="I30" i="37" s="1"/>
  <c r="G27" i="37"/>
  <c r="J105" i="157"/>
  <c r="I27" i="37" s="1"/>
  <c r="G25" i="37"/>
  <c r="J103" i="157"/>
  <c r="I25" i="37" s="1"/>
  <c r="H23" i="37"/>
  <c r="H35" i="37"/>
  <c r="J48" i="157"/>
  <c r="J38" i="157"/>
  <c r="G238" i="37"/>
  <c r="J396" i="156"/>
  <c r="I238" i="37" s="1"/>
  <c r="G233" i="37"/>
  <c r="J391" i="156"/>
  <c r="I233" i="37" s="1"/>
  <c r="G235" i="37"/>
  <c r="J393" i="156"/>
  <c r="I235" i="37" s="1"/>
  <c r="G234" i="37"/>
  <c r="J392" i="156"/>
  <c r="I234" i="37" s="1"/>
  <c r="G236" i="37"/>
  <c r="J394" i="156"/>
  <c r="I236" i="37" s="1"/>
  <c r="G232" i="37"/>
  <c r="J390" i="156"/>
  <c r="I232" i="37" s="1"/>
  <c r="I19" i="57"/>
  <c r="I31" i="57" s="1"/>
  <c r="I205" i="37" s="1"/>
  <c r="G31" i="57"/>
  <c r="G205" i="37" s="1"/>
  <c r="I19" i="46"/>
  <c r="G61" i="37"/>
  <c r="H133" i="37"/>
  <c r="F140" i="37"/>
  <c r="F128" i="37"/>
  <c r="H101" i="157"/>
  <c r="H106" i="157"/>
  <c r="J29" i="157"/>
  <c r="J10" i="157"/>
  <c r="J365" i="156"/>
  <c r="J340" i="156"/>
  <c r="J352" i="156" s="1"/>
  <c r="I142" i="37" s="1"/>
  <c r="H326" i="156"/>
  <c r="H338" i="156" s="1"/>
  <c r="J324" i="156"/>
  <c r="H389" i="156"/>
  <c r="J317" i="156"/>
  <c r="J331" i="156" s="1"/>
  <c r="I133" i="37" s="1"/>
  <c r="H352" i="156"/>
  <c r="J377" i="156"/>
  <c r="J312" i="156"/>
  <c r="J285" i="156"/>
  <c r="J298" i="156" s="1"/>
  <c r="I103" i="37" s="1"/>
  <c r="H298" i="156"/>
  <c r="H309" i="156" l="1"/>
  <c r="G114" i="37" s="1"/>
  <c r="G103" i="37"/>
  <c r="G142" i="37"/>
  <c r="J387" i="156"/>
  <c r="G88" i="37"/>
  <c r="J182" i="157"/>
  <c r="I88" i="37" s="1"/>
  <c r="J56" i="157"/>
  <c r="G229" i="37"/>
  <c r="G217" i="37"/>
  <c r="G193" i="37"/>
  <c r="G166" i="37"/>
  <c r="G101" i="37"/>
  <c r="G180" i="37"/>
  <c r="G49" i="37"/>
  <c r="G126" i="37"/>
  <c r="J35" i="157"/>
  <c r="G23" i="37"/>
  <c r="J21" i="157"/>
  <c r="I114" i="37"/>
  <c r="I31" i="46"/>
  <c r="I61" i="37" s="1"/>
  <c r="J101" i="157"/>
  <c r="I23" i="37" s="1"/>
  <c r="G28" i="37"/>
  <c r="J106" i="157"/>
  <c r="I28" i="37" s="1"/>
  <c r="G231" i="37"/>
  <c r="J389" i="156"/>
  <c r="I231" i="37" s="1"/>
  <c r="G128" i="37"/>
  <c r="H113" i="157"/>
  <c r="J350" i="156"/>
  <c r="J362" i="156" s="1"/>
  <c r="I152" i="37" s="1"/>
  <c r="H362" i="156"/>
  <c r="J338" i="156"/>
  <c r="I140" i="37" s="1"/>
  <c r="J326" i="156"/>
  <c r="I128" i="37" s="1"/>
  <c r="H399" i="156"/>
  <c r="I278" i="156"/>
  <c r="H70" i="37" s="1"/>
  <c r="H258" i="37" s="1"/>
  <c r="G278" i="156"/>
  <c r="F70" i="37" s="1"/>
  <c r="F258" i="37" s="1"/>
  <c r="I275" i="156"/>
  <c r="H67" i="37" s="1"/>
  <c r="I274" i="156"/>
  <c r="H66" i="37" s="1"/>
  <c r="I273" i="156"/>
  <c r="H65" i="37" s="1"/>
  <c r="I272" i="156"/>
  <c r="H64" i="37" s="1"/>
  <c r="G272" i="156"/>
  <c r="F64" i="37" s="1"/>
  <c r="G273" i="156"/>
  <c r="F65" i="37" s="1"/>
  <c r="G274" i="156"/>
  <c r="F66" i="37" s="1"/>
  <c r="G275" i="156"/>
  <c r="F67" i="37" s="1"/>
  <c r="G276" i="156"/>
  <c r="F68" i="37" s="1"/>
  <c r="J258" i="156"/>
  <c r="J259" i="156"/>
  <c r="H274" i="156"/>
  <c r="J261" i="156"/>
  <c r="H278" i="156"/>
  <c r="I257" i="156"/>
  <c r="I268" i="156" s="1"/>
  <c r="G257" i="156"/>
  <c r="J54" i="156"/>
  <c r="J55" i="156"/>
  <c r="I244" i="156"/>
  <c r="I242" i="156"/>
  <c r="G244" i="156"/>
  <c r="F11" i="37" s="1"/>
  <c r="G223" i="156"/>
  <c r="G229" i="156" s="1"/>
  <c r="G232" i="156"/>
  <c r="G238" i="156" s="1"/>
  <c r="F12" i="37"/>
  <c r="I232" i="156"/>
  <c r="I238" i="156" s="1"/>
  <c r="J234" i="156"/>
  <c r="H232" i="156"/>
  <c r="I229" i="156"/>
  <c r="I201" i="156"/>
  <c r="I207" i="156" s="1"/>
  <c r="G201" i="156"/>
  <c r="G207" i="156" s="1"/>
  <c r="J203" i="156"/>
  <c r="J189" i="156"/>
  <c r="J188" i="156"/>
  <c r="I198" i="156"/>
  <c r="G198" i="156"/>
  <c r="I180" i="156"/>
  <c r="J178" i="156"/>
  <c r="I177" i="156"/>
  <c r="G177" i="156"/>
  <c r="G184" i="156" s="1"/>
  <c r="J171" i="156"/>
  <c r="I170" i="156"/>
  <c r="I167" i="156"/>
  <c r="G167" i="156"/>
  <c r="G174" i="156" s="1"/>
  <c r="I157" i="156"/>
  <c r="I164" i="156" s="1"/>
  <c r="G157" i="156"/>
  <c r="G164" i="156" s="1"/>
  <c r="J159" i="156"/>
  <c r="J158" i="156"/>
  <c r="G147" i="156"/>
  <c r="G154" i="156" s="1"/>
  <c r="J149" i="156"/>
  <c r="J148" i="156"/>
  <c r="I147" i="156"/>
  <c r="I154" i="156" s="1"/>
  <c r="I138" i="156"/>
  <c r="I144" i="156" s="1"/>
  <c r="G138" i="156"/>
  <c r="G144" i="156" s="1"/>
  <c r="J140" i="156"/>
  <c r="I125" i="156"/>
  <c r="I135" i="156" s="1"/>
  <c r="G125" i="156"/>
  <c r="G135" i="156" s="1"/>
  <c r="J127" i="156"/>
  <c r="H245" i="156"/>
  <c r="J126" i="156"/>
  <c r="I122" i="156"/>
  <c r="J104" i="156"/>
  <c r="J105" i="156"/>
  <c r="I102" i="156"/>
  <c r="I112" i="156" s="1"/>
  <c r="G102" i="156"/>
  <c r="G112" i="156" s="1"/>
  <c r="J103" i="156"/>
  <c r="J91" i="156"/>
  <c r="J92" i="156"/>
  <c r="J93" i="156"/>
  <c r="J90" i="156"/>
  <c r="I89" i="156"/>
  <c r="I99" i="156" s="1"/>
  <c r="G89" i="156"/>
  <c r="G99" i="156" s="1"/>
  <c r="J82" i="156"/>
  <c r="I80" i="156"/>
  <c r="I86" i="156" s="1"/>
  <c r="G80" i="156"/>
  <c r="G86" i="156" s="1"/>
  <c r="J73" i="156"/>
  <c r="J72" i="156"/>
  <c r="I71" i="156"/>
  <c r="I77" i="156" s="1"/>
  <c r="G71" i="156"/>
  <c r="G77" i="156" s="1"/>
  <c r="J63" i="156"/>
  <c r="I68" i="156"/>
  <c r="G62" i="156"/>
  <c r="G68" i="156" s="1"/>
  <c r="J52" i="156"/>
  <c r="I51" i="156"/>
  <c r="I59" i="156" s="1"/>
  <c r="G51" i="156"/>
  <c r="G59" i="156" s="1"/>
  <c r="I41" i="156"/>
  <c r="I48" i="156" s="1"/>
  <c r="G41" i="156"/>
  <c r="G48" i="156" s="1"/>
  <c r="H238" i="156" l="1"/>
  <c r="J238" i="156" s="1"/>
  <c r="G152" i="37"/>
  <c r="G140" i="37"/>
  <c r="G66" i="37"/>
  <c r="J129" i="156"/>
  <c r="H150" i="156"/>
  <c r="J225" i="156"/>
  <c r="F255" i="37"/>
  <c r="F254" i="37"/>
  <c r="G241" i="37"/>
  <c r="J399" i="156"/>
  <c r="I241" i="37" s="1"/>
  <c r="I174" i="156"/>
  <c r="I184" i="156"/>
  <c r="I271" i="156"/>
  <c r="H63" i="37" s="1"/>
  <c r="I282" i="156"/>
  <c r="G268" i="156"/>
  <c r="G282" i="156" s="1"/>
  <c r="G35" i="37"/>
  <c r="J113" i="157"/>
  <c r="I35" i="37" s="1"/>
  <c r="H10" i="37"/>
  <c r="H11" i="37"/>
  <c r="H254" i="37" s="1"/>
  <c r="H12" i="37"/>
  <c r="H255" i="37" s="1"/>
  <c r="H9" i="37"/>
  <c r="I246" i="156"/>
  <c r="J278" i="156"/>
  <c r="I70" i="37" s="1"/>
  <c r="G70" i="37"/>
  <c r="H223" i="156"/>
  <c r="H262" i="156"/>
  <c r="J181" i="156"/>
  <c r="H177" i="156"/>
  <c r="H180" i="156"/>
  <c r="J161" i="156"/>
  <c r="H160" i="156"/>
  <c r="H130" i="156"/>
  <c r="H80" i="156"/>
  <c r="H51" i="156"/>
  <c r="H62" i="156"/>
  <c r="J274" i="156"/>
  <c r="I66" i="37" s="1"/>
  <c r="J81" i="156"/>
  <c r="J132" i="156"/>
  <c r="J151" i="156"/>
  <c r="J179" i="156"/>
  <c r="J232" i="156"/>
  <c r="I276" i="156"/>
  <c r="H138" i="156"/>
  <c r="H170" i="156"/>
  <c r="H201" i="156"/>
  <c r="J139" i="156"/>
  <c r="J202" i="156"/>
  <c r="J260" i="156"/>
  <c r="H273" i="156"/>
  <c r="H275" i="156"/>
  <c r="J53" i="156"/>
  <c r="J64" i="156"/>
  <c r="J224" i="156"/>
  <c r="J233" i="156"/>
  <c r="G271" i="156"/>
  <c r="H272" i="156"/>
  <c r="H257" i="156"/>
  <c r="H167" i="156"/>
  <c r="H157" i="156"/>
  <c r="H125" i="156"/>
  <c r="H102" i="156"/>
  <c r="H89" i="156"/>
  <c r="H71" i="156"/>
  <c r="H271" i="156" l="1"/>
  <c r="G63" i="37" s="1"/>
  <c r="J125" i="156"/>
  <c r="H112" i="156"/>
  <c r="H59" i="156"/>
  <c r="H144" i="156"/>
  <c r="J177" i="156"/>
  <c r="J150" i="156"/>
  <c r="H77" i="156"/>
  <c r="H99" i="156"/>
  <c r="H164" i="156"/>
  <c r="H207" i="156"/>
  <c r="H86" i="156"/>
  <c r="J170" i="156"/>
  <c r="H174" i="156"/>
  <c r="J130" i="156"/>
  <c r="H135" i="156"/>
  <c r="H68" i="156"/>
  <c r="H198" i="156"/>
  <c r="H229" i="156"/>
  <c r="J180" i="156"/>
  <c r="H184" i="156"/>
  <c r="J262" i="156"/>
  <c r="H268" i="156"/>
  <c r="H13" i="37"/>
  <c r="H74" i="37"/>
  <c r="H68" i="37"/>
  <c r="F74" i="37"/>
  <c r="F63" i="37"/>
  <c r="J275" i="156"/>
  <c r="I67" i="37" s="1"/>
  <c r="G67" i="37"/>
  <c r="J273" i="156"/>
  <c r="I65" i="37" s="1"/>
  <c r="G65" i="37"/>
  <c r="J271" i="156"/>
  <c r="I63" i="37" s="1"/>
  <c r="J272" i="156"/>
  <c r="I64" i="37" s="1"/>
  <c r="G64" i="37"/>
  <c r="J223" i="156"/>
  <c r="H276" i="156"/>
  <c r="J187" i="156"/>
  <c r="J160" i="156"/>
  <c r="J80" i="156"/>
  <c r="J157" i="156"/>
  <c r="J102" i="156"/>
  <c r="J51" i="156"/>
  <c r="J62" i="156"/>
  <c r="J71" i="156"/>
  <c r="J89" i="156"/>
  <c r="J138" i="156"/>
  <c r="J201" i="156"/>
  <c r="J167" i="156"/>
  <c r="J257" i="156"/>
  <c r="J198" i="156" l="1"/>
  <c r="J144" i="156"/>
  <c r="J229" i="156"/>
  <c r="J207" i="156"/>
  <c r="J112" i="156"/>
  <c r="J59" i="156"/>
  <c r="J174" i="156"/>
  <c r="J164" i="156"/>
  <c r="J184" i="156"/>
  <c r="J68" i="156"/>
  <c r="J99" i="156"/>
  <c r="J135" i="156"/>
  <c r="J86" i="156"/>
  <c r="J77" i="156"/>
  <c r="H256" i="37"/>
  <c r="J268" i="156"/>
  <c r="J282" i="156" s="1"/>
  <c r="I74" i="37" s="1"/>
  <c r="H282" i="156"/>
  <c r="J276" i="156"/>
  <c r="I68" i="37" s="1"/>
  <c r="G68" i="37"/>
  <c r="G74" i="37" l="1"/>
  <c r="H248" i="156"/>
  <c r="H244" i="156"/>
  <c r="J32" i="156"/>
  <c r="G30" i="156"/>
  <c r="G38" i="156" s="1"/>
  <c r="I10" i="156"/>
  <c r="I17" i="156" s="1"/>
  <c r="G10" i="156"/>
  <c r="G17" i="156" s="1"/>
  <c r="C30" i="156"/>
  <c r="E22" i="156"/>
  <c r="D245" i="37" s="1"/>
  <c r="G22" i="156"/>
  <c r="F245" i="37" s="1"/>
  <c r="I22" i="156"/>
  <c r="E21" i="156"/>
  <c r="D244" i="37" s="1"/>
  <c r="G21" i="156"/>
  <c r="F244" i="37" s="1"/>
  <c r="I21" i="156"/>
  <c r="E20" i="156"/>
  <c r="D243" i="37" s="1"/>
  <c r="F11" i="156"/>
  <c r="C22" i="156"/>
  <c r="B245" i="37" s="1"/>
  <c r="C20" i="156"/>
  <c r="B243" i="37" s="1"/>
  <c r="I38" i="156" l="1"/>
  <c r="I253" i="156" s="1"/>
  <c r="H20" i="37" s="1"/>
  <c r="H245" i="37"/>
  <c r="H253" i="37" s="1"/>
  <c r="H244" i="37"/>
  <c r="H252" i="37" s="1"/>
  <c r="G11" i="37"/>
  <c r="J244" i="156"/>
  <c r="I11" i="37" s="1"/>
  <c r="H44" i="156"/>
  <c r="J45" i="156"/>
  <c r="G20" i="156"/>
  <c r="F243" i="37" s="1"/>
  <c r="G26" i="156"/>
  <c r="F249" i="37" s="1"/>
  <c r="I26" i="156"/>
  <c r="I241" i="156"/>
  <c r="H8" i="37" s="1"/>
  <c r="J43" i="156"/>
  <c r="J31" i="156"/>
  <c r="J42" i="156"/>
  <c r="H41" i="156"/>
  <c r="H22" i="156"/>
  <c r="G245" i="37" s="1"/>
  <c r="H10" i="156"/>
  <c r="I20" i="156"/>
  <c r="J12" i="156"/>
  <c r="H21" i="156"/>
  <c r="G244" i="37" s="1"/>
  <c r="J11" i="156"/>
  <c r="H30" i="156"/>
  <c r="H17" i="156" l="1"/>
  <c r="G254" i="37"/>
  <c r="H48" i="156"/>
  <c r="H38" i="156"/>
  <c r="J21" i="156"/>
  <c r="I244" i="37" s="1"/>
  <c r="J22" i="156"/>
  <c r="I245" i="37" s="1"/>
  <c r="H243" i="37"/>
  <c r="H251" i="37" s="1"/>
  <c r="H249" i="37"/>
  <c r="H250" i="37" s="1"/>
  <c r="G12" i="37"/>
  <c r="J245" i="156"/>
  <c r="I12" i="37" s="1"/>
  <c r="G15" i="37"/>
  <c r="J248" i="156"/>
  <c r="I15" i="37" s="1"/>
  <c r="J44" i="156"/>
  <c r="J10" i="156"/>
  <c r="J41" i="156"/>
  <c r="H20" i="156"/>
  <c r="G243" i="37" s="1"/>
  <c r="J30" i="156"/>
  <c r="C62" i="156"/>
  <c r="C51" i="156"/>
  <c r="C41" i="156"/>
  <c r="J48" i="156" l="1"/>
  <c r="J38" i="156"/>
  <c r="I254" i="37"/>
  <c r="G255" i="37"/>
  <c r="G258" i="37"/>
  <c r="J20" i="156"/>
  <c r="I243" i="37" s="1"/>
  <c r="H26" i="156"/>
  <c r="J17" i="156"/>
  <c r="I258" i="37" l="1"/>
  <c r="I255" i="37"/>
  <c r="G249" i="37"/>
  <c r="J26" i="156"/>
  <c r="I249" i="37" s="1"/>
  <c r="C12" i="57"/>
  <c r="C11" i="57"/>
  <c r="C10" i="57"/>
  <c r="D9" i="57"/>
  <c r="D21" i="57" s="1"/>
  <c r="D195" i="37" s="1"/>
  <c r="B9" i="57"/>
  <c r="B21" i="57" l="1"/>
  <c r="B195" i="37" s="1"/>
  <c r="B19" i="57"/>
  <c r="B205" i="37" s="1"/>
  <c r="C14" i="57"/>
  <c r="E10" i="57"/>
  <c r="E22" i="57" s="1"/>
  <c r="E196" i="37" s="1"/>
  <c r="C22" i="57"/>
  <c r="C196" i="37" s="1"/>
  <c r="C23" i="57"/>
  <c r="C197" i="37" s="1"/>
  <c r="E11" i="57"/>
  <c r="E23" i="57" s="1"/>
  <c r="E197" i="37" s="1"/>
  <c r="C24" i="57"/>
  <c r="C198" i="37" s="1"/>
  <c r="E12" i="57"/>
  <c r="E24" i="57" s="1"/>
  <c r="E198" i="37" s="1"/>
  <c r="D19" i="57"/>
  <c r="D205" i="37" s="1"/>
  <c r="C9" i="57"/>
  <c r="C21" i="57" s="1"/>
  <c r="C195" i="37" s="1"/>
  <c r="E14" i="57" l="1"/>
  <c r="E26" i="57" s="1"/>
  <c r="E200" i="37" s="1"/>
  <c r="C26" i="57"/>
  <c r="C200" i="37" s="1"/>
  <c r="C19" i="57"/>
  <c r="E9" i="57"/>
  <c r="E21" i="57" s="1"/>
  <c r="E195" i="37" s="1"/>
  <c r="C205" i="37" l="1"/>
  <c r="E19" i="57"/>
  <c r="E205" i="37" s="1"/>
  <c r="D9" i="46"/>
  <c r="D21" i="46" s="1"/>
  <c r="D51" i="37" s="1"/>
  <c r="B9" i="46"/>
  <c r="B21" i="46" s="1"/>
  <c r="B51" i="37" s="1"/>
  <c r="E10" i="46" l="1"/>
  <c r="E22" i="46" s="1"/>
  <c r="E52" i="37" s="1"/>
  <c r="C22" i="46"/>
  <c r="C52" i="37" s="1"/>
  <c r="E11" i="46"/>
  <c r="E23" i="46" s="1"/>
  <c r="E53" i="37" s="1"/>
  <c r="C23" i="46"/>
  <c r="C53" i="37" s="1"/>
  <c r="C24" i="46"/>
  <c r="C54" i="37" s="1"/>
  <c r="E24" i="46"/>
  <c r="E54" i="37" s="1"/>
  <c r="B19" i="46"/>
  <c r="B61" i="37" s="1"/>
  <c r="D19" i="46"/>
  <c r="D61" i="37" s="1"/>
  <c r="C9" i="46"/>
  <c r="C21" i="46" s="1"/>
  <c r="C51" i="37" s="1"/>
  <c r="C19" i="46" l="1"/>
  <c r="E9" i="46"/>
  <c r="E21" i="46" s="1"/>
  <c r="E51" i="37" s="1"/>
  <c r="C61" i="37" l="1"/>
  <c r="E19" i="46"/>
  <c r="E61" i="37" s="1"/>
  <c r="D349" i="157"/>
  <c r="D361" i="157" s="1"/>
  <c r="C221" i="37" s="1"/>
  <c r="D348" i="157"/>
  <c r="D360" i="157" s="1"/>
  <c r="C220" i="37" s="1"/>
  <c r="E347" i="157"/>
  <c r="C347" i="157"/>
  <c r="D326" i="157"/>
  <c r="D325" i="157"/>
  <c r="D337" i="157" s="1"/>
  <c r="C210" i="37" s="1"/>
  <c r="D324" i="157"/>
  <c r="D336" i="157" s="1"/>
  <c r="C209" i="37" s="1"/>
  <c r="D323" i="157"/>
  <c r="D335" i="157" s="1"/>
  <c r="C208" i="37" s="1"/>
  <c r="E322" i="157"/>
  <c r="E334" i="157" s="1"/>
  <c r="D207" i="37" s="1"/>
  <c r="C322" i="157"/>
  <c r="C334" i="157" s="1"/>
  <c r="B207" i="37" s="1"/>
  <c r="D299" i="157"/>
  <c r="D298" i="157"/>
  <c r="D311" i="157" s="1"/>
  <c r="C185" i="37" s="1"/>
  <c r="D297" i="157"/>
  <c r="D310" i="157" s="1"/>
  <c r="C184" i="37" s="1"/>
  <c r="D296" i="157"/>
  <c r="D309" i="157" s="1"/>
  <c r="C183" i="37" s="1"/>
  <c r="E295" i="157"/>
  <c r="E308" i="157" s="1"/>
  <c r="D182" i="37" s="1"/>
  <c r="C295" i="157"/>
  <c r="D270" i="157"/>
  <c r="D269" i="157"/>
  <c r="D283" i="157" s="1"/>
  <c r="C171" i="37" s="1"/>
  <c r="D268" i="157"/>
  <c r="D282" i="157" s="1"/>
  <c r="C170" i="37" s="1"/>
  <c r="D267" i="157"/>
  <c r="D281" i="157" s="1"/>
  <c r="C169" i="37" s="1"/>
  <c r="E266" i="157"/>
  <c r="E280" i="157" s="1"/>
  <c r="D168" i="37" s="1"/>
  <c r="C266" i="157"/>
  <c r="C280" i="157" s="1"/>
  <c r="B168" i="37" s="1"/>
  <c r="D241" i="157"/>
  <c r="D240" i="157"/>
  <c r="D254" i="157" s="1"/>
  <c r="C157" i="37" s="1"/>
  <c r="D239" i="157"/>
  <c r="D253" i="157" s="1"/>
  <c r="C156" i="37" s="1"/>
  <c r="D238" i="157"/>
  <c r="D252" i="157" s="1"/>
  <c r="C155" i="37" s="1"/>
  <c r="E237" i="157"/>
  <c r="E251" i="157" s="1"/>
  <c r="D154" i="37" s="1"/>
  <c r="C237" i="157"/>
  <c r="D216" i="157"/>
  <c r="D215" i="157"/>
  <c r="D227" i="157" s="1"/>
  <c r="C119" i="37" s="1"/>
  <c r="D214" i="157"/>
  <c r="D226" i="157" s="1"/>
  <c r="C118" i="37" s="1"/>
  <c r="D213" i="157"/>
  <c r="D225" i="157" s="1"/>
  <c r="C117" i="37" s="1"/>
  <c r="E212" i="157"/>
  <c r="E224" i="157" s="1"/>
  <c r="D116" i="37" s="1"/>
  <c r="C212" i="157"/>
  <c r="E359" i="157" l="1"/>
  <c r="D219" i="37" s="1"/>
  <c r="E369" i="157"/>
  <c r="D229" i="37" s="1"/>
  <c r="C359" i="157"/>
  <c r="B219" i="37" s="1"/>
  <c r="C369" i="157"/>
  <c r="B229" i="37" s="1"/>
  <c r="C308" i="157"/>
  <c r="B182" i="37" s="1"/>
  <c r="C319" i="157"/>
  <c r="B193" i="37" s="1"/>
  <c r="C263" i="157"/>
  <c r="B166" i="37" s="1"/>
  <c r="C251" i="157"/>
  <c r="B154" i="37" s="1"/>
  <c r="D338" i="157"/>
  <c r="C211" i="37" s="1"/>
  <c r="F326" i="157"/>
  <c r="F338" i="157" s="1"/>
  <c r="E211" i="37" s="1"/>
  <c r="D312" i="157"/>
  <c r="C186" i="37" s="1"/>
  <c r="F299" i="157"/>
  <c r="F312" i="157" s="1"/>
  <c r="E186" i="37" s="1"/>
  <c r="F270" i="157"/>
  <c r="F284" i="157" s="1"/>
  <c r="E172" i="37" s="1"/>
  <c r="D284" i="157"/>
  <c r="C172" i="37" s="1"/>
  <c r="F241" i="157"/>
  <c r="F255" i="157" s="1"/>
  <c r="E158" i="37" s="1"/>
  <c r="D255" i="157"/>
  <c r="C158" i="37" s="1"/>
  <c r="E263" i="157"/>
  <c r="D166" i="37" s="1"/>
  <c r="D242" i="157"/>
  <c r="D256" i="157" s="1"/>
  <c r="C159" i="37" s="1"/>
  <c r="C224" i="157"/>
  <c r="B116" i="37" s="1"/>
  <c r="C234" i="157"/>
  <c r="B126" i="37" s="1"/>
  <c r="F216" i="157"/>
  <c r="F228" i="157" s="1"/>
  <c r="E120" i="37" s="1"/>
  <c r="D228" i="157"/>
  <c r="C120" i="37" s="1"/>
  <c r="E319" i="157"/>
  <c r="D193" i="37" s="1"/>
  <c r="E292" i="157"/>
  <c r="D180" i="37" s="1"/>
  <c r="E234" i="157"/>
  <c r="D126" i="37" s="1"/>
  <c r="C344" i="157"/>
  <c r="B217" i="37" s="1"/>
  <c r="C292" i="157"/>
  <c r="B180" i="37" s="1"/>
  <c r="F213" i="157"/>
  <c r="F225" i="157" s="1"/>
  <c r="E117" i="37" s="1"/>
  <c r="F238" i="157"/>
  <c r="F252" i="157" s="1"/>
  <c r="E155" i="37" s="1"/>
  <c r="F269" i="157"/>
  <c r="F283" i="157" s="1"/>
  <c r="E171" i="37" s="1"/>
  <c r="F349" i="157"/>
  <c r="F361" i="157" s="1"/>
  <c r="E221" i="37" s="1"/>
  <c r="F214" i="157"/>
  <c r="F226" i="157" s="1"/>
  <c r="E118" i="37" s="1"/>
  <c r="F239" i="157"/>
  <c r="F253" i="157" s="1"/>
  <c r="E156" i="37" s="1"/>
  <c r="F296" i="157"/>
  <c r="F309" i="157" s="1"/>
  <c r="E183" i="37" s="1"/>
  <c r="F323" i="157"/>
  <c r="F335" i="157" s="1"/>
  <c r="E208" i="37" s="1"/>
  <c r="F215" i="157"/>
  <c r="F227" i="157" s="1"/>
  <c r="E119" i="37" s="1"/>
  <c r="F267" i="157"/>
  <c r="F281" i="157" s="1"/>
  <c r="E169" i="37" s="1"/>
  <c r="F297" i="157"/>
  <c r="F310" i="157" s="1"/>
  <c r="E184" i="37" s="1"/>
  <c r="F324" i="157"/>
  <c r="F336" i="157" s="1"/>
  <c r="E209" i="37" s="1"/>
  <c r="F268" i="157"/>
  <c r="F282" i="157" s="1"/>
  <c r="E170" i="37" s="1"/>
  <c r="F298" i="157"/>
  <c r="F311" i="157" s="1"/>
  <c r="E185" i="37" s="1"/>
  <c r="F325" i="157"/>
  <c r="F337" i="157" s="1"/>
  <c r="E210" i="37" s="1"/>
  <c r="D347" i="157"/>
  <c r="F348" i="157"/>
  <c r="F360" i="157" s="1"/>
  <c r="E220" i="37" s="1"/>
  <c r="D322" i="157"/>
  <c r="D334" i="157" s="1"/>
  <c r="C207" i="37" s="1"/>
  <c r="D295" i="157"/>
  <c r="D308" i="157" s="1"/>
  <c r="C182" i="37" s="1"/>
  <c r="D266" i="157"/>
  <c r="D280" i="157" s="1"/>
  <c r="C168" i="37" s="1"/>
  <c r="D237" i="157"/>
  <c r="D251" i="157" s="1"/>
  <c r="C154" i="37" s="1"/>
  <c r="F240" i="157"/>
  <c r="F254" i="157" s="1"/>
  <c r="E157" i="37" s="1"/>
  <c r="D212" i="157"/>
  <c r="D224" i="157" s="1"/>
  <c r="C116" i="37" s="1"/>
  <c r="D359" i="157" l="1"/>
  <c r="C219" i="37" s="1"/>
  <c r="E344" i="157"/>
  <c r="D217" i="37" s="1"/>
  <c r="F242" i="157"/>
  <c r="F256" i="157" s="1"/>
  <c r="E159" i="37" s="1"/>
  <c r="D344" i="157"/>
  <c r="C217" i="37" s="1"/>
  <c r="F347" i="157"/>
  <c r="F359" i="157" s="1"/>
  <c r="E219" i="37" s="1"/>
  <c r="F322" i="157"/>
  <c r="F334" i="157" s="1"/>
  <c r="E207" i="37" s="1"/>
  <c r="F295" i="157"/>
  <c r="F308" i="157" s="1"/>
  <c r="E182" i="37" s="1"/>
  <c r="F266" i="157"/>
  <c r="F280" i="157" s="1"/>
  <c r="E168" i="37" s="1"/>
  <c r="F237" i="157"/>
  <c r="F251" i="157" s="1"/>
  <c r="E154" i="37" s="1"/>
  <c r="F212" i="157"/>
  <c r="F224" i="157" s="1"/>
  <c r="E116" i="37" s="1"/>
  <c r="D188" i="157"/>
  <c r="D201" i="157" s="1"/>
  <c r="C93" i="37" s="1"/>
  <c r="D187" i="157"/>
  <c r="D200" i="157" s="1"/>
  <c r="C92" i="37" s="1"/>
  <c r="D186" i="157"/>
  <c r="D199" i="157" s="1"/>
  <c r="C91" i="37" s="1"/>
  <c r="E185" i="157"/>
  <c r="C185" i="157"/>
  <c r="E174" i="157"/>
  <c r="D80" i="37" s="1"/>
  <c r="C174" i="157"/>
  <c r="B80" i="37" s="1"/>
  <c r="E173" i="157"/>
  <c r="D79" i="37" s="1"/>
  <c r="C173" i="157"/>
  <c r="B79" i="37" s="1"/>
  <c r="E172" i="157"/>
  <c r="D78" i="37" s="1"/>
  <c r="C172" i="157"/>
  <c r="B78" i="37" s="1"/>
  <c r="E171" i="157"/>
  <c r="D77" i="37" s="1"/>
  <c r="C171" i="157"/>
  <c r="B77" i="37" s="1"/>
  <c r="D163" i="157"/>
  <c r="D162" i="157"/>
  <c r="E161" i="157"/>
  <c r="C161" i="157"/>
  <c r="D150" i="157"/>
  <c r="F150" i="157" s="1"/>
  <c r="D149" i="157"/>
  <c r="D148" i="157"/>
  <c r="D147" i="157"/>
  <c r="E146" i="157"/>
  <c r="C146" i="157"/>
  <c r="C198" i="157" l="1"/>
  <c r="B90" i="37" s="1"/>
  <c r="F369" i="157"/>
  <c r="E229" i="37" s="1"/>
  <c r="D369" i="157"/>
  <c r="C229" i="37" s="1"/>
  <c r="F344" i="157"/>
  <c r="E217" i="37" s="1"/>
  <c r="F319" i="157"/>
  <c r="E193" i="37" s="1"/>
  <c r="D319" i="157"/>
  <c r="C193" i="37" s="1"/>
  <c r="F292" i="157"/>
  <c r="E180" i="37" s="1"/>
  <c r="D292" i="157"/>
  <c r="C180" i="37" s="1"/>
  <c r="F263" i="157"/>
  <c r="E166" i="37" s="1"/>
  <c r="D263" i="157"/>
  <c r="C166" i="37" s="1"/>
  <c r="E198" i="157"/>
  <c r="D90" i="37" s="1"/>
  <c r="C182" i="157"/>
  <c r="B88" i="37" s="1"/>
  <c r="F234" i="157"/>
  <c r="E126" i="37" s="1"/>
  <c r="D234" i="157"/>
  <c r="C126" i="37" s="1"/>
  <c r="D151" i="157"/>
  <c r="E209" i="157"/>
  <c r="D101" i="37" s="1"/>
  <c r="E182" i="157"/>
  <c r="D88" i="37" s="1"/>
  <c r="E170" i="157"/>
  <c r="D76" i="37" s="1"/>
  <c r="F149" i="157"/>
  <c r="F187" i="157"/>
  <c r="D174" i="157"/>
  <c r="C80" i="37" s="1"/>
  <c r="F188" i="157"/>
  <c r="F147" i="157"/>
  <c r="F162" i="157"/>
  <c r="F148" i="157"/>
  <c r="F163" i="157"/>
  <c r="F186" i="157"/>
  <c r="D185" i="157"/>
  <c r="D198" i="157" s="1"/>
  <c r="C90" i="37" s="1"/>
  <c r="C170" i="157"/>
  <c r="B76" i="37" s="1"/>
  <c r="D172" i="157"/>
  <c r="C78" i="37" s="1"/>
  <c r="D173" i="157"/>
  <c r="C79" i="37" s="1"/>
  <c r="D171" i="157"/>
  <c r="C77" i="37" s="1"/>
  <c r="D161" i="157"/>
  <c r="D146" i="157"/>
  <c r="F199" i="157" l="1"/>
  <c r="E91" i="37" s="1"/>
  <c r="F201" i="157"/>
  <c r="E93" i="37" s="1"/>
  <c r="F200" i="157"/>
  <c r="E92" i="37" s="1"/>
  <c r="F151" i="157"/>
  <c r="F175" i="157" s="1"/>
  <c r="E81" i="37" s="1"/>
  <c r="D175" i="157"/>
  <c r="C81" i="37" s="1"/>
  <c r="F174" i="157"/>
  <c r="E80" i="37" s="1"/>
  <c r="F185" i="157"/>
  <c r="F171" i="157"/>
  <c r="E77" i="37" s="1"/>
  <c r="F173" i="157"/>
  <c r="E79" i="37" s="1"/>
  <c r="F172" i="157"/>
  <c r="E78" i="37" s="1"/>
  <c r="D170" i="157"/>
  <c r="C76" i="37" s="1"/>
  <c r="F161" i="157"/>
  <c r="F146" i="157"/>
  <c r="F198" i="157" l="1"/>
  <c r="E90" i="37" s="1"/>
  <c r="D182" i="157"/>
  <c r="C88" i="37" s="1"/>
  <c r="F182" i="157"/>
  <c r="E88" i="37" s="1"/>
  <c r="F170" i="157"/>
  <c r="E76" i="37" s="1"/>
  <c r="E135" i="157" l="1"/>
  <c r="D41" i="37" s="1"/>
  <c r="C135" i="157"/>
  <c r="B41" i="37" s="1"/>
  <c r="E134" i="157"/>
  <c r="D40" i="37" s="1"/>
  <c r="C134" i="157"/>
  <c r="B40" i="37" s="1"/>
  <c r="E133" i="157"/>
  <c r="D39" i="37" s="1"/>
  <c r="C133" i="157"/>
  <c r="B39" i="37" s="1"/>
  <c r="E132" i="157"/>
  <c r="D38" i="37" s="1"/>
  <c r="C132" i="157"/>
  <c r="B38" i="37" s="1"/>
  <c r="E117" i="157"/>
  <c r="C117" i="157"/>
  <c r="D121" i="157"/>
  <c r="F121" i="157" s="1"/>
  <c r="D120" i="157"/>
  <c r="D119" i="157"/>
  <c r="D118" i="157"/>
  <c r="C143" i="157" l="1"/>
  <c r="B49" i="37" s="1"/>
  <c r="E131" i="157"/>
  <c r="D37" i="37" s="1"/>
  <c r="E143" i="157"/>
  <c r="D49" i="37" s="1"/>
  <c r="F120" i="157"/>
  <c r="D135" i="157"/>
  <c r="C41" i="37" s="1"/>
  <c r="F118" i="157"/>
  <c r="C131" i="157"/>
  <c r="B37" i="37" s="1"/>
  <c r="F119" i="157"/>
  <c r="D132" i="157"/>
  <c r="C38" i="37" s="1"/>
  <c r="D134" i="157"/>
  <c r="C40" i="37" s="1"/>
  <c r="D133" i="157"/>
  <c r="C39" i="37" s="1"/>
  <c r="D117" i="157"/>
  <c r="F143" i="157" l="1"/>
  <c r="E49" i="37" s="1"/>
  <c r="D143" i="157"/>
  <c r="C49" i="37" s="1"/>
  <c r="D131" i="157"/>
  <c r="F133" i="157"/>
  <c r="E39" i="37" s="1"/>
  <c r="F134" i="157"/>
  <c r="E40" i="37" s="1"/>
  <c r="F132" i="157"/>
  <c r="E38" i="37" s="1"/>
  <c r="F117" i="157"/>
  <c r="F131" i="157" l="1"/>
  <c r="E37" i="37" s="1"/>
  <c r="C37" i="37"/>
  <c r="D95" i="157"/>
  <c r="D94" i="157"/>
  <c r="E93" i="157"/>
  <c r="C93" i="157"/>
  <c r="D86" i="157"/>
  <c r="D82" i="157"/>
  <c r="D81" i="157"/>
  <c r="D73" i="157"/>
  <c r="D72" i="157"/>
  <c r="E71" i="157"/>
  <c r="C71" i="157"/>
  <c r="D63" i="157"/>
  <c r="F63" i="157" s="1"/>
  <c r="E106" i="157"/>
  <c r="D61" i="157"/>
  <c r="D60" i="157"/>
  <c r="E59" i="157"/>
  <c r="C59" i="157"/>
  <c r="E48" i="157"/>
  <c r="D50" i="157"/>
  <c r="D49" i="157"/>
  <c r="C48" i="157"/>
  <c r="D40" i="157"/>
  <c r="D39" i="157"/>
  <c r="E38" i="157"/>
  <c r="D28" i="157"/>
  <c r="D27" i="157"/>
  <c r="D26" i="157"/>
  <c r="D25" i="157"/>
  <c r="E24" i="157"/>
  <c r="C24" i="157"/>
  <c r="E10" i="157"/>
  <c r="C10" i="157"/>
  <c r="D17" i="157"/>
  <c r="D14" i="157"/>
  <c r="D13" i="157"/>
  <c r="D11" i="157"/>
  <c r="D80" i="157" l="1"/>
  <c r="D28" i="37"/>
  <c r="C101" i="157"/>
  <c r="B23" i="37" s="1"/>
  <c r="E101" i="157"/>
  <c r="D104" i="157"/>
  <c r="D105" i="157"/>
  <c r="D103" i="157"/>
  <c r="D108" i="157"/>
  <c r="D102" i="157"/>
  <c r="F86" i="157"/>
  <c r="D84" i="157"/>
  <c r="D29" i="157"/>
  <c r="F17" i="157"/>
  <c r="D15" i="157"/>
  <c r="F15" i="157" s="1"/>
  <c r="F11" i="157"/>
  <c r="F72" i="157"/>
  <c r="F82" i="157"/>
  <c r="F12" i="157"/>
  <c r="F28" i="157"/>
  <c r="F73" i="157"/>
  <c r="F13" i="157"/>
  <c r="F25" i="157"/>
  <c r="F39" i="157"/>
  <c r="F49" i="157"/>
  <c r="F60" i="157"/>
  <c r="F14" i="157"/>
  <c r="F26" i="157"/>
  <c r="F40" i="157"/>
  <c r="F50" i="157"/>
  <c r="F61" i="157"/>
  <c r="F81" i="157"/>
  <c r="F95" i="157"/>
  <c r="D93" i="157"/>
  <c r="F94" i="157"/>
  <c r="D71" i="157"/>
  <c r="D59" i="157"/>
  <c r="D62" i="157"/>
  <c r="F62" i="157" s="1"/>
  <c r="D48" i="157"/>
  <c r="D38" i="157"/>
  <c r="D24" i="157"/>
  <c r="D10" i="157"/>
  <c r="F80" i="157" l="1"/>
  <c r="C25" i="37"/>
  <c r="F103" i="157"/>
  <c r="E25" i="37" s="1"/>
  <c r="C27" i="37"/>
  <c r="F105" i="157"/>
  <c r="E27" i="37" s="1"/>
  <c r="C24" i="37"/>
  <c r="F102" i="157"/>
  <c r="E24" i="37" s="1"/>
  <c r="C26" i="37"/>
  <c r="F104" i="157"/>
  <c r="E26" i="37" s="1"/>
  <c r="C30" i="37"/>
  <c r="F108" i="157"/>
  <c r="E30" i="37" s="1"/>
  <c r="D23" i="37"/>
  <c r="E113" i="157"/>
  <c r="D35" i="37" s="1"/>
  <c r="C113" i="157"/>
  <c r="B35" i="37" s="1"/>
  <c r="D101" i="157"/>
  <c r="C23" i="37" s="1"/>
  <c r="F84" i="157"/>
  <c r="D106" i="157"/>
  <c r="F29" i="157"/>
  <c r="F93" i="157"/>
  <c r="F71" i="157"/>
  <c r="F59" i="157"/>
  <c r="F48" i="157"/>
  <c r="F38" i="157"/>
  <c r="F24" i="157"/>
  <c r="F10" i="157"/>
  <c r="C28" i="37" l="1"/>
  <c r="F106" i="157"/>
  <c r="E28" i="37" s="1"/>
  <c r="F101" i="157"/>
  <c r="E23" i="37" s="1"/>
  <c r="D113" i="157"/>
  <c r="C35" i="37" s="1"/>
  <c r="E35" i="37"/>
  <c r="B238" i="37" l="1"/>
  <c r="E393" i="156"/>
  <c r="D235" i="37" s="1"/>
  <c r="C393" i="156"/>
  <c r="B235" i="37" s="1"/>
  <c r="E392" i="156"/>
  <c r="D234" i="37" s="1"/>
  <c r="C392" i="156"/>
  <c r="B234" i="37" s="1"/>
  <c r="E391" i="156"/>
  <c r="D233" i="37" s="1"/>
  <c r="C391" i="156"/>
  <c r="B233" i="37" s="1"/>
  <c r="E390" i="156"/>
  <c r="C390" i="156"/>
  <c r="B232" i="37" s="1"/>
  <c r="D232" i="37" l="1"/>
  <c r="F381" i="156"/>
  <c r="E377" i="156"/>
  <c r="C377" i="156"/>
  <c r="F378" i="156" l="1"/>
  <c r="C394" i="156"/>
  <c r="B236" i="37" s="1"/>
  <c r="F380" i="156"/>
  <c r="E394" i="156"/>
  <c r="D236" i="37" s="1"/>
  <c r="F379" i="156"/>
  <c r="F377" i="156" l="1"/>
  <c r="E365" i="156" l="1"/>
  <c r="E399" i="156" s="1"/>
  <c r="D241" i="37" s="1"/>
  <c r="C365" i="156"/>
  <c r="C399" i="156" s="1"/>
  <c r="E359" i="156"/>
  <c r="D149" i="37" s="1"/>
  <c r="C359" i="156"/>
  <c r="B149" i="37" s="1"/>
  <c r="E356" i="156"/>
  <c r="D146" i="37" s="1"/>
  <c r="C356" i="156"/>
  <c r="B146" i="37" s="1"/>
  <c r="E355" i="156"/>
  <c r="D145" i="37" s="1"/>
  <c r="C355" i="156"/>
  <c r="B145" i="37" s="1"/>
  <c r="E354" i="156"/>
  <c r="D144" i="37" s="1"/>
  <c r="C354" i="156"/>
  <c r="B144" i="37" s="1"/>
  <c r="E353" i="156"/>
  <c r="C353" i="156"/>
  <c r="B143" i="37" s="1"/>
  <c r="D143" i="37" l="1"/>
  <c r="E389" i="156"/>
  <c r="D231" i="37" s="1"/>
  <c r="F369" i="156"/>
  <c r="F366" i="156"/>
  <c r="F367" i="156"/>
  <c r="C238" i="37"/>
  <c r="C389" i="156"/>
  <c r="B231" i="37" s="1"/>
  <c r="C233" i="37" l="1"/>
  <c r="F391" i="156"/>
  <c r="E233" i="37" s="1"/>
  <c r="C232" i="37"/>
  <c r="F390" i="156"/>
  <c r="E232" i="37" s="1"/>
  <c r="C234" i="37"/>
  <c r="F392" i="156"/>
  <c r="E234" i="37" s="1"/>
  <c r="C231" i="37"/>
  <c r="F389" i="156"/>
  <c r="E231" i="37" s="1"/>
  <c r="C235" i="37"/>
  <c r="F393" i="156"/>
  <c r="E235" i="37" s="1"/>
  <c r="B241" i="37"/>
  <c r="E238" i="37"/>
  <c r="F365" i="156"/>
  <c r="C236" i="37" l="1"/>
  <c r="F394" i="156"/>
  <c r="E236" i="37" s="1"/>
  <c r="F399" i="156"/>
  <c r="C241" i="37"/>
  <c r="E333" i="156" l="1"/>
  <c r="D135" i="37" s="1"/>
  <c r="C333" i="156"/>
  <c r="B135" i="37" s="1"/>
  <c r="E330" i="156"/>
  <c r="D132" i="37" s="1"/>
  <c r="C330" i="156"/>
  <c r="B132" i="37" s="1"/>
  <c r="E329" i="156"/>
  <c r="D131" i="37" s="1"/>
  <c r="C329" i="156"/>
  <c r="B131" i="37" s="1"/>
  <c r="E328" i="156"/>
  <c r="D130" i="37" s="1"/>
  <c r="C328" i="156"/>
  <c r="B130" i="37" s="1"/>
  <c r="E327" i="156"/>
  <c r="C327" i="156"/>
  <c r="B129" i="37" s="1"/>
  <c r="E305" i="156"/>
  <c r="D110" i="37" s="1"/>
  <c r="C305" i="156"/>
  <c r="B110" i="37" s="1"/>
  <c r="E302" i="156"/>
  <c r="D107" i="37" s="1"/>
  <c r="C302" i="156"/>
  <c r="B107" i="37" s="1"/>
  <c r="E301" i="156"/>
  <c r="D106" i="37" s="1"/>
  <c r="C301" i="156"/>
  <c r="B106" i="37" s="1"/>
  <c r="E300" i="156"/>
  <c r="D105" i="37" s="1"/>
  <c r="C300" i="156"/>
  <c r="B105" i="37" s="1"/>
  <c r="E299" i="156"/>
  <c r="C299" i="156"/>
  <c r="B104" i="37" s="1"/>
  <c r="E278" i="156"/>
  <c r="D70" i="37" s="1"/>
  <c r="C278" i="156"/>
  <c r="B70" i="37" s="1"/>
  <c r="E275" i="156"/>
  <c r="D67" i="37" s="1"/>
  <c r="C275" i="156"/>
  <c r="B67" i="37" s="1"/>
  <c r="E274" i="156"/>
  <c r="D66" i="37" s="1"/>
  <c r="C274" i="156"/>
  <c r="B66" i="37" s="1"/>
  <c r="E273" i="156"/>
  <c r="D65" i="37" s="1"/>
  <c r="C273" i="156"/>
  <c r="B65" i="37" s="1"/>
  <c r="E272" i="156"/>
  <c r="C272" i="156"/>
  <c r="B64" i="37" s="1"/>
  <c r="D104" i="37" l="1"/>
  <c r="D64" i="37"/>
  <c r="D129" i="37"/>
  <c r="D258" i="37"/>
  <c r="B258" i="37"/>
  <c r="F344" i="156"/>
  <c r="E340" i="156"/>
  <c r="C340" i="156"/>
  <c r="C362" i="156" s="1"/>
  <c r="B152" i="37" s="1"/>
  <c r="E312" i="156"/>
  <c r="C312" i="156"/>
  <c r="E285" i="156"/>
  <c r="C285" i="156"/>
  <c r="E298" i="156" l="1"/>
  <c r="D103" i="37" s="1"/>
  <c r="E309" i="156"/>
  <c r="D114" i="37" s="1"/>
  <c r="E352" i="156"/>
  <c r="D142" i="37" s="1"/>
  <c r="E362" i="156"/>
  <c r="D152" i="37" s="1"/>
  <c r="E326" i="156"/>
  <c r="D128" i="37" s="1"/>
  <c r="C298" i="156"/>
  <c r="B103" i="37" s="1"/>
  <c r="C309" i="156"/>
  <c r="B114" i="37" s="1"/>
  <c r="E357" i="156"/>
  <c r="D147" i="37" s="1"/>
  <c r="E331" i="156"/>
  <c r="D133" i="37" s="1"/>
  <c r="E303" i="156"/>
  <c r="D108" i="37" s="1"/>
  <c r="C331" i="156"/>
  <c r="B133" i="37" s="1"/>
  <c r="C303" i="156"/>
  <c r="B108" i="37" s="1"/>
  <c r="C149" i="37"/>
  <c r="C326" i="156"/>
  <c r="B128" i="37" s="1"/>
  <c r="C352" i="156"/>
  <c r="B142" i="37" s="1"/>
  <c r="C357" i="156"/>
  <c r="B147" i="37" s="1"/>
  <c r="C130" i="37"/>
  <c r="C146" i="37"/>
  <c r="F343" i="156"/>
  <c r="F355" i="156" s="1"/>
  <c r="E145" i="37" s="1"/>
  <c r="C145" i="37"/>
  <c r="F341" i="156"/>
  <c r="F353" i="156" s="1"/>
  <c r="E143" i="37" s="1"/>
  <c r="C143" i="37"/>
  <c r="F342" i="156"/>
  <c r="F354" i="156" s="1"/>
  <c r="E144" i="37" s="1"/>
  <c r="C144" i="37"/>
  <c r="F315" i="156"/>
  <c r="F329" i="156" s="1"/>
  <c r="E131" i="37" s="1"/>
  <c r="C131" i="37"/>
  <c r="F316" i="156"/>
  <c r="F330" i="156" s="1"/>
  <c r="E132" i="37" s="1"/>
  <c r="C132" i="37"/>
  <c r="F313" i="156"/>
  <c r="F327" i="156" s="1"/>
  <c r="E129" i="37" s="1"/>
  <c r="C129" i="37"/>
  <c r="C135" i="37"/>
  <c r="F289" i="156"/>
  <c r="F302" i="156" s="1"/>
  <c r="E107" i="37" s="1"/>
  <c r="C107" i="37"/>
  <c r="F287" i="156"/>
  <c r="F300" i="156" s="1"/>
  <c r="E105" i="37" s="1"/>
  <c r="C105" i="37"/>
  <c r="F305" i="156"/>
  <c r="E110" i="37" s="1"/>
  <c r="C110" i="37"/>
  <c r="F286" i="156"/>
  <c r="F299" i="156" s="1"/>
  <c r="E104" i="37" s="1"/>
  <c r="C104" i="37"/>
  <c r="F288" i="156"/>
  <c r="F301" i="156" s="1"/>
  <c r="E106" i="37" s="1"/>
  <c r="C106" i="37"/>
  <c r="F356" i="156"/>
  <c r="E146" i="37" s="1"/>
  <c r="F359" i="156"/>
  <c r="E149" i="37" s="1"/>
  <c r="F314" i="156"/>
  <c r="F328" i="156" s="1"/>
  <c r="E130" i="37" s="1"/>
  <c r="F362" i="156" l="1"/>
  <c r="E152" i="37" s="1"/>
  <c r="C152" i="37"/>
  <c r="F333" i="156"/>
  <c r="E135" i="37" s="1"/>
  <c r="F331" i="156"/>
  <c r="E133" i="37" s="1"/>
  <c r="F309" i="156"/>
  <c r="E114" i="37" s="1"/>
  <c r="C114" i="37"/>
  <c r="B140" i="37"/>
  <c r="D140" i="37"/>
  <c r="C128" i="37"/>
  <c r="C108" i="37"/>
  <c r="C147" i="37"/>
  <c r="C103" i="37"/>
  <c r="C133" i="37"/>
  <c r="F340" i="156"/>
  <c r="F352" i="156" s="1"/>
  <c r="E142" i="37" s="1"/>
  <c r="C142" i="37"/>
  <c r="F357" i="156"/>
  <c r="E147" i="37" s="1"/>
  <c r="F312" i="156"/>
  <c r="F326" i="156" s="1"/>
  <c r="E128" i="37" s="1"/>
  <c r="F303" i="156"/>
  <c r="E108" i="37" s="1"/>
  <c r="F285" i="156"/>
  <c r="F298" i="156" s="1"/>
  <c r="E103" i="37" s="1"/>
  <c r="C140" i="37" l="1"/>
  <c r="E257" i="156" l="1"/>
  <c r="C257" i="156"/>
  <c r="F262" i="156" l="1"/>
  <c r="C65" i="37"/>
  <c r="C70" i="37"/>
  <c r="C66" i="37"/>
  <c r="C67" i="37"/>
  <c r="C64" i="37"/>
  <c r="C271" i="156"/>
  <c r="B63" i="37" s="1"/>
  <c r="E271" i="156"/>
  <c r="D63" i="37" s="1"/>
  <c r="C276" i="156"/>
  <c r="E276" i="156"/>
  <c r="D68" i="37" s="1"/>
  <c r="F261" i="156"/>
  <c r="F258" i="156"/>
  <c r="F259" i="156"/>
  <c r="F260" i="156"/>
  <c r="B68" i="37" l="1"/>
  <c r="C68" i="37"/>
  <c r="C63" i="37"/>
  <c r="F274" i="156"/>
  <c r="E66" i="37" s="1"/>
  <c r="F278" i="156"/>
  <c r="E70" i="37" s="1"/>
  <c r="F275" i="156"/>
  <c r="E67" i="37" s="1"/>
  <c r="F273" i="156"/>
  <c r="E65" i="37" s="1"/>
  <c r="F272" i="156"/>
  <c r="E64" i="37" s="1"/>
  <c r="F257" i="156"/>
  <c r="F276" i="156" l="1"/>
  <c r="E68" i="37" s="1"/>
  <c r="F271" i="156"/>
  <c r="E63" i="37" s="1"/>
  <c r="B12" i="37" l="1"/>
  <c r="B255" i="37" s="1"/>
  <c r="E244" i="156"/>
  <c r="C244" i="156"/>
  <c r="B11" i="37" s="1"/>
  <c r="B254" i="37" s="1"/>
  <c r="C243" i="156"/>
  <c r="B10" i="37" s="1"/>
  <c r="B253" i="37" s="1"/>
  <c r="E242" i="156"/>
  <c r="C242" i="156"/>
  <c r="B9" i="37" s="1"/>
  <c r="D12" i="37" l="1"/>
  <c r="D255" i="37" s="1"/>
  <c r="D11" i="37"/>
  <c r="D254" i="37" s="1"/>
  <c r="D10" i="37"/>
  <c r="D253" i="37" s="1"/>
  <c r="D9" i="37"/>
  <c r="D252" i="37" s="1"/>
  <c r="E232" i="156" l="1"/>
  <c r="C232" i="156"/>
  <c r="E223" i="156"/>
  <c r="C223" i="156"/>
  <c r="F224" i="156" l="1"/>
  <c r="F225" i="156"/>
  <c r="F234" i="156"/>
  <c r="F233" i="156"/>
  <c r="F232" i="156" l="1"/>
  <c r="F223" i="156"/>
  <c r="E201" i="156" l="1"/>
  <c r="C201" i="156"/>
  <c r="E177" i="156"/>
  <c r="C177" i="156"/>
  <c r="C170" i="156"/>
  <c r="C246" i="156" s="1"/>
  <c r="B13" i="37" s="1"/>
  <c r="B256" i="37" s="1"/>
  <c r="C167" i="156"/>
  <c r="E157" i="156"/>
  <c r="C157" i="156"/>
  <c r="F161" i="156" l="1"/>
  <c r="F178" i="156"/>
  <c r="F181" i="156"/>
  <c r="F158" i="156"/>
  <c r="F179" i="156"/>
  <c r="F202" i="156"/>
  <c r="F159" i="156"/>
  <c r="F171" i="156"/>
  <c r="F203" i="156"/>
  <c r="E147" i="156"/>
  <c r="C147" i="156"/>
  <c r="C138" i="156"/>
  <c r="E125" i="156"/>
  <c r="C125" i="156"/>
  <c r="F119" i="156"/>
  <c r="C115" i="156"/>
  <c r="E102" i="156"/>
  <c r="C102" i="156"/>
  <c r="E89" i="156"/>
  <c r="C89" i="156"/>
  <c r="F93" i="156"/>
  <c r="C80" i="156"/>
  <c r="F73" i="156"/>
  <c r="E51" i="156"/>
  <c r="E44" i="156"/>
  <c r="F45" i="156"/>
  <c r="F43" i="156"/>
  <c r="F42" i="156"/>
  <c r="E41" i="156"/>
  <c r="F72" i="156" l="1"/>
  <c r="E246" i="156"/>
  <c r="F118" i="156"/>
  <c r="C253" i="156"/>
  <c r="B20" i="37" s="1"/>
  <c r="F55" i="156"/>
  <c r="F54" i="156"/>
  <c r="F160" i="156"/>
  <c r="F151" i="156"/>
  <c r="F150" i="156"/>
  <c r="F130" i="156"/>
  <c r="C241" i="156"/>
  <c r="B8" i="37" s="1"/>
  <c r="B251" i="37" s="1"/>
  <c r="E253" i="156"/>
  <c r="D20" i="37" s="1"/>
  <c r="F53" i="156"/>
  <c r="F81" i="156"/>
  <c r="F92" i="156"/>
  <c r="F105" i="156"/>
  <c r="F116" i="156"/>
  <c r="F129" i="156"/>
  <c r="F140" i="156"/>
  <c r="F170" i="156"/>
  <c r="F63" i="156"/>
  <c r="F82" i="156"/>
  <c r="F106" i="156"/>
  <c r="F126" i="156"/>
  <c r="F167" i="156"/>
  <c r="F201" i="156"/>
  <c r="F64" i="156"/>
  <c r="F90" i="156"/>
  <c r="F127" i="156"/>
  <c r="F148" i="156"/>
  <c r="F180" i="156"/>
  <c r="F52" i="156"/>
  <c r="F104" i="156"/>
  <c r="F139" i="156"/>
  <c r="F149" i="156"/>
  <c r="F177" i="156"/>
  <c r="F157" i="156"/>
  <c r="F103" i="156"/>
  <c r="F91" i="156"/>
  <c r="F44" i="156"/>
  <c r="F41" i="156"/>
  <c r="C11" i="37" l="1"/>
  <c r="F244" i="156"/>
  <c r="E11" i="37" s="1"/>
  <c r="C12" i="37"/>
  <c r="F245" i="156"/>
  <c r="E12" i="37" s="1"/>
  <c r="C15" i="37"/>
  <c r="F248" i="156"/>
  <c r="C14" i="37"/>
  <c r="F247" i="156"/>
  <c r="E14" i="37" s="1"/>
  <c r="D13" i="37"/>
  <c r="D256" i="37" s="1"/>
  <c r="C13" i="37"/>
  <c r="F71" i="156"/>
  <c r="F138" i="156"/>
  <c r="F80" i="156"/>
  <c r="F62" i="156"/>
  <c r="F115" i="156"/>
  <c r="F102" i="156"/>
  <c r="F147" i="156"/>
  <c r="F125" i="156"/>
  <c r="F89" i="156"/>
  <c r="F51" i="156"/>
  <c r="C257" i="37" l="1"/>
  <c r="C255" i="37"/>
  <c r="C258" i="37"/>
  <c r="C254" i="37"/>
  <c r="F246" i="156"/>
  <c r="E13" i="37" s="1"/>
  <c r="E241" i="156"/>
  <c r="D8" i="37" s="1"/>
  <c r="D251" i="37" s="1"/>
  <c r="F32" i="156"/>
  <c r="F31" i="156"/>
  <c r="E254" i="37" l="1"/>
  <c r="E257" i="37"/>
  <c r="E258" i="37"/>
  <c r="E255" i="37"/>
  <c r="F30" i="156"/>
  <c r="C21" i="156" l="1"/>
  <c r="B244" i="37" l="1"/>
  <c r="B252" i="37" s="1"/>
  <c r="E249" i="37"/>
  <c r="C249" i="37"/>
  <c r="F10" i="156"/>
  <c r="F12" i="156"/>
  <c r="C243" i="37" l="1"/>
  <c r="F20" i="156"/>
  <c r="E243" i="37" s="1"/>
  <c r="C245" i="37"/>
  <c r="F22" i="156"/>
  <c r="E245" i="37" s="1"/>
  <c r="C244" i="37"/>
  <c r="F21" i="156"/>
  <c r="E244" i="37" s="1"/>
  <c r="E15" i="37"/>
  <c r="E140" i="37" l="1"/>
  <c r="E74" i="37"/>
  <c r="F189" i="156"/>
  <c r="F188" i="156"/>
  <c r="C10" i="37" l="1"/>
  <c r="F243" i="156"/>
  <c r="E10" i="37" s="1"/>
  <c r="C9" i="37"/>
  <c r="F242" i="156"/>
  <c r="E9" i="37" s="1"/>
  <c r="F253" i="156"/>
  <c r="E20" i="37" s="1"/>
  <c r="C20" i="37"/>
  <c r="C8" i="37"/>
  <c r="F187" i="156"/>
  <c r="C251" i="37" l="1"/>
  <c r="C252" i="37"/>
  <c r="C253" i="37"/>
  <c r="F241" i="156"/>
  <c r="E8" i="37" s="1"/>
  <c r="E253" i="37" l="1"/>
  <c r="E252" i="37"/>
  <c r="E251" i="37"/>
  <c r="E241" i="37"/>
  <c r="C209" i="157" l="1"/>
  <c r="B101" i="37" s="1"/>
  <c r="D190" i="157" l="1"/>
  <c r="F190" i="157" l="1"/>
  <c r="F203" i="157" s="1"/>
  <c r="E95" i="37" s="1"/>
  <c r="D203" i="157"/>
  <c r="C95" i="37" s="1"/>
  <c r="C256" i="37" l="1"/>
  <c r="F209" i="157"/>
  <c r="E101" i="37" s="1"/>
  <c r="D209" i="157"/>
  <c r="C101" i="37" s="1"/>
  <c r="E256" i="37" l="1"/>
  <c r="H147" i="156"/>
  <c r="H154" i="156" l="1"/>
  <c r="J147" i="156"/>
  <c r="J154" i="156" l="1"/>
  <c r="G246" i="156" l="1"/>
  <c r="F13" i="37" s="1"/>
  <c r="F256" i="37" s="1"/>
  <c r="G247" i="156"/>
  <c r="F14" i="37" s="1"/>
  <c r="F257" i="37" s="1"/>
  <c r="G242" i="156"/>
  <c r="F9" i="37" s="1"/>
  <c r="F252" i="37" s="1"/>
  <c r="H247" i="156"/>
  <c r="F10" i="37"/>
  <c r="F253" i="37" s="1"/>
  <c r="G115" i="156"/>
  <c r="J116" i="156"/>
  <c r="J117" i="156" l="1"/>
  <c r="H243" i="156"/>
  <c r="G241" i="156"/>
  <c r="F8" i="37" s="1"/>
  <c r="F251" i="37" s="1"/>
  <c r="G122" i="156"/>
  <c r="G253" i="156" s="1"/>
  <c r="F20" i="37" s="1"/>
  <c r="F250" i="37" s="1"/>
  <c r="H115" i="156"/>
  <c r="J247" i="156"/>
  <c r="I14" i="37" s="1"/>
  <c r="G14" i="37"/>
  <c r="J119" i="156"/>
  <c r="H242" i="156"/>
  <c r="H118" i="156"/>
  <c r="G257" i="37" l="1"/>
  <c r="H122" i="156"/>
  <c r="J115" i="156"/>
  <c r="H241" i="156"/>
  <c r="G9" i="37"/>
  <c r="J242" i="156"/>
  <c r="I9" i="37" s="1"/>
  <c r="G10" i="37"/>
  <c r="J243" i="156"/>
  <c r="I10" i="37" s="1"/>
  <c r="J118" i="156"/>
  <c r="H246" i="156"/>
  <c r="I257" i="37" l="1"/>
  <c r="G252" i="37"/>
  <c r="G253" i="37"/>
  <c r="J241" i="156"/>
  <c r="I8" i="37" s="1"/>
  <c r="G8" i="37"/>
  <c r="J122" i="156"/>
  <c r="H253" i="156"/>
  <c r="J246" i="156"/>
  <c r="I13" i="37" s="1"/>
  <c r="G13" i="37"/>
  <c r="I253" i="37" l="1"/>
  <c r="I252" i="37"/>
  <c r="G256" i="37"/>
  <c r="G251" i="37"/>
  <c r="J253" i="156"/>
  <c r="I20" i="37" s="1"/>
  <c r="G20" i="37"/>
  <c r="F127" i="157"/>
  <c r="F141" i="157" s="1"/>
  <c r="E47" i="37" s="1"/>
  <c r="E141" i="157"/>
  <c r="D47" i="37" s="1"/>
  <c r="D261" i="37" l="1"/>
  <c r="E261" i="37" s="1"/>
  <c r="I256" i="37"/>
  <c r="I251" i="37"/>
  <c r="G250" i="37"/>
  <c r="I262" i="37" l="1"/>
  <c r="I250" i="37"/>
</calcChain>
</file>

<file path=xl/sharedStrings.xml><?xml version="1.0" encoding="utf-8"?>
<sst xmlns="http://schemas.openxmlformats.org/spreadsheetml/2006/main" count="1065" uniqueCount="140">
  <si>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</si>
  <si>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</si>
  <si>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</si>
  <si>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</si>
  <si>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</si>
  <si>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</si>
  <si>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</si>
  <si>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</si>
  <si>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</si>
  <si>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</si>
  <si>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</si>
  <si>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</si>
  <si>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</si>
  <si>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</si>
  <si>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</si>
  <si>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</si>
  <si>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</si>
  <si>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</si>
  <si>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</si>
  <si>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</si>
  <si>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</si>
  <si>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</si>
  <si>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</si>
  <si>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</si>
  <si>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</si>
  <si>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</si>
  <si>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</si>
  <si>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</si>
  <si>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</si>
  <si>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</si>
  <si>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</si>
  <si>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</si>
  <si>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</si>
  <si>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</si>
  <si>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</si>
  <si>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</si>
  <si>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</si>
  <si>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</si>
  <si>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</si>
  <si>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</si>
  <si>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</si>
  <si>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</si>
  <si>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</si>
  <si>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</si>
  <si>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</si>
  <si>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</si>
  <si>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</si>
  <si>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</si>
  <si>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</si>
  <si>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</si>
  <si>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</si>
  <si>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</si>
  <si>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</si>
  <si>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</si>
  <si>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</si>
  <si>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</si>
  <si>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</si>
  <si>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</si>
  <si>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</si>
  <si>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</si>
  <si>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</si>
  <si>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</si>
  <si>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</si>
  <si>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</si>
  <si>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</si>
  <si>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</si>
  <si>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</si>
  <si>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</si>
  <si>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</si>
  <si>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</si>
  <si>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</si>
  <si>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</si>
  <si>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</si>
  <si>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</si>
  <si>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</si>
  <si>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</si>
  <si>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</si>
  <si>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</si>
  <si>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</si>
  <si>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</si>
  <si>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</si>
  <si>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</si>
  <si>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</si>
  <si>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</si>
  <si>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</si>
  <si>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</si>
  <si>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</si>
  <si>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</si>
  <si>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</si>
  <si>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</si>
  <si>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</si>
  <si>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</si>
  <si>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</si>
  <si>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</si>
  <si>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</si>
  <si>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</si>
  <si>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</si>
  <si>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</si>
  <si>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</si>
  <si>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</si>
  <si>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</si>
  <si>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</si>
  <si>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</si>
  <si>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</si>
  <si>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</si>
  <si>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</si>
  <si>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</si>
  <si>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</si>
  <si>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</si>
  <si>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</si>
  <si>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</si>
  <si>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</si>
  <si>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</si>
  <si>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</si>
  <si>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</si>
  <si>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</si>
  <si>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</si>
  <si>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</si>
  <si>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</si>
  <si>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</si>
  <si>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</si>
  <si>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</si>
  <si>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</si>
  <si>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</si>
  <si>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в т.ч. посещения в травмпункте (первичные)</t>
  </si>
  <si>
    <t>в т.ч. посещения в приемных отделениях</t>
  </si>
  <si>
    <t>1. КГБУЗ "Комсомольская межрайонная больница" МЗХК 1340013</t>
  </si>
  <si>
    <t>27. Хабаровская поликлиника ФГБУЗ ДВОМЦ ФМБА России 6341001</t>
  </si>
  <si>
    <t>План 2018 (законченный случай)</t>
  </si>
  <si>
    <t>План 2018 (тыс.руб)</t>
  </si>
  <si>
    <t>1.2.3. диспансеризация детей-сирот, находящихся в стационарных учреждениях</t>
  </si>
  <si>
    <t xml:space="preserve"> * по медицинским организациям, имеющим прикрепившихся лиц</t>
  </si>
  <si>
    <t>План 8 мес. 2018 г. (законченный случай)</t>
  </si>
  <si>
    <t>План 8 мес. 2018 г. (тыс.руб)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</si>
  <si>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январь-август  2018</t>
  </si>
  <si>
    <t>План 8 мес.. 2018 г. (законченный случай)</t>
  </si>
  <si>
    <t>План 8 мес.. 2018 г. (тыс.руб)</t>
  </si>
  <si>
    <t xml:space="preserve">План 8 мес.. 2018 г. (законченный случай) 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</si>
  <si>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январь-август 2018 (профилактические мероприятия и неотложная помощь) *</t>
  </si>
  <si>
    <t>План 8 мес. 2018 (законченный случай)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</si>
</sst>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\ _р_._-;\-* #,##0\ _р_._-;_-* &quot;-&quot;\ _р_._-;_-@_-"/>
    <numFmt numFmtId="167" formatCode="_-* #,##0.00\ _р_._-;\-* #,##0.00\ _р_._-;_-* &quot;-&quot;??\ _р_._-;_-@_-"/>
    <numFmt numFmtId="168" formatCode="0.0"/>
    <numFmt numFmtId="169" formatCode="_-* #,##0\ _р_._-;\-* #,##0\ _р_._-;_-* &quot;-&quot;??\ _р_._-;_-@_-"/>
    <numFmt numFmtId="170" formatCode="_-* #,##0.0_р_._-;\-* #,##0.0_р_._-;_-* &quot;-&quot;_р_._-;_-@_-"/>
    <numFmt numFmtId="171" formatCode="_-* #,##0_р_._-;\-* #,##0_р_._-;_-* &quot;-&quot;??_р_._-;_-@_-"/>
    <numFmt numFmtId="172" formatCode="#,##0.0"/>
    <numFmt numFmtId="173" formatCode="_-* #,##0.0_р_._-;\-* #,##0.0_р_._-;_-* &quot;-&quot;??_р_._-;_-@_-"/>
    <numFmt numFmtId="174" formatCode="_-* #,##0.00_р_._-;\-* #,##0.00_р_._-;_-* &quot;-&quot;_р_._-;_-@_-"/>
    <numFmt numFmtId="175" formatCode="#,##0.000_ ;\-#,##0.000\ 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5" fillId="0" borderId="0"/>
    <xf numFmtId="165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4" fillId="0" borderId="0"/>
    <xf numFmtId="165" fontId="2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767">
    <xf numFmtId="0" fontId="0" fillId="0" borderId="0" xfId="0"/>
    <xf numFmtId="164" fontId="7" fillId="0" borderId="2" xfId="1" applyNumberFormat="1" applyFont="1" applyFill="1" applyBorder="1"/>
    <xf numFmtId="164" fontId="6" fillId="0" borderId="2" xfId="1" applyNumberFormat="1" applyFont="1" applyFill="1" applyBorder="1"/>
    <xf numFmtId="164" fontId="6" fillId="0" borderId="2" xfId="1" applyNumberFormat="1" applyFont="1" applyFill="1" applyBorder="1" applyAlignment="1">
      <alignment horizontal="right"/>
    </xf>
    <xf numFmtId="171" fontId="6" fillId="0" borderId="2" xfId="2" applyNumberFormat="1" applyFont="1" applyFill="1" applyBorder="1"/>
    <xf numFmtId="164" fontId="11" fillId="0" borderId="2" xfId="1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171" fontId="11" fillId="0" borderId="2" xfId="1" applyNumberFormat="1" applyFont="1" applyFill="1" applyBorder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164" fontId="6" fillId="0" borderId="10" xfId="1" applyNumberFormat="1" applyFont="1" applyFill="1" applyBorder="1"/>
    <xf numFmtId="171" fontId="6" fillId="0" borderId="10" xfId="2" applyNumberFormat="1" applyFont="1" applyFill="1" applyBorder="1"/>
    <xf numFmtId="164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164" fontId="6" fillId="0" borderId="10" xfId="2" applyNumberFormat="1" applyFont="1" applyFill="1" applyBorder="1"/>
    <xf numFmtId="164" fontId="11" fillId="0" borderId="10" xfId="1" applyNumberFormat="1" applyFont="1" applyFill="1" applyBorder="1" applyAlignment="1">
      <alignment horizontal="right"/>
    </xf>
    <xf numFmtId="164" fontId="11" fillId="0" borderId="10" xfId="2" applyNumberFormat="1" applyFont="1" applyFill="1" applyBorder="1"/>
    <xf numFmtId="0" fontId="6" fillId="0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horizontal="left" wrapText="1"/>
    </xf>
    <xf numFmtId="0" fontId="11" fillId="0" borderId="2" xfId="1" applyFont="1" applyFill="1" applyBorder="1" applyAlignment="1">
      <alignment horizontal="center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164" fontId="6" fillId="0" borderId="14" xfId="1" applyNumberFormat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171" fontId="15" fillId="0" borderId="2" xfId="1" applyNumberFormat="1" applyFont="1" applyFill="1" applyBorder="1"/>
    <xf numFmtId="0" fontId="15" fillId="0" borderId="3" xfId="1" applyFont="1" applyFill="1" applyBorder="1" applyAlignment="1">
      <alignment horizontal="left"/>
    </xf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164" fontId="11" fillId="0" borderId="14" xfId="1" applyNumberFormat="1" applyFont="1" applyFill="1" applyBorder="1" applyAlignment="1">
      <alignment horizontal="right"/>
    </xf>
    <xf numFmtId="0" fontId="7" fillId="0" borderId="2" xfId="1" applyFont="1" applyFill="1" applyBorder="1" applyAlignment="1">
      <alignment horizontal="left"/>
    </xf>
    <xf numFmtId="164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164" fontId="7" fillId="0" borderId="10" xfId="1" applyNumberFormat="1" applyFont="1" applyFill="1" applyBorder="1" applyAlignment="1">
      <alignment vertical="center" wrapText="1"/>
    </xf>
    <xf numFmtId="164" fontId="7" fillId="0" borderId="10" xfId="3" applyNumberFormat="1" applyFont="1" applyFill="1" applyBorder="1" applyAlignment="1">
      <alignment horizontal="center"/>
    </xf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6" fillId="0" borderId="13" xfId="1" applyFont="1" applyFill="1" applyBorder="1"/>
    <xf numFmtId="164" fontId="6" fillId="0" borderId="14" xfId="1" applyNumberFormat="1" applyFont="1" applyFill="1" applyBorder="1" applyAlignment="1">
      <alignment horizontal="center"/>
    </xf>
    <xf numFmtId="0" fontId="7" fillId="0" borderId="14" xfId="1" applyFont="1" applyFill="1" applyBorder="1"/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164" fontId="9" fillId="0" borderId="10" xfId="2" applyNumberFormat="1" applyFont="1" applyFill="1" applyBorder="1" applyAlignment="1">
      <alignment vertical="center"/>
    </xf>
    <xf numFmtId="3" fontId="18" fillId="0" borderId="2" xfId="2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vertical="center" wrapText="1"/>
    </xf>
    <xf numFmtId="3" fontId="10" fillId="0" borderId="2" xfId="2" applyNumberFormat="1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164" fontId="6" fillId="0" borderId="14" xfId="2" applyNumberFormat="1" applyFont="1" applyFill="1" applyBorder="1"/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164" fontId="11" fillId="0" borderId="13" xfId="1" applyNumberFormat="1" applyFont="1" applyFill="1" applyBorder="1"/>
    <xf numFmtId="164" fontId="11" fillId="0" borderId="7" xfId="1" applyNumberFormat="1" applyFont="1" applyFill="1" applyBorder="1"/>
    <xf numFmtId="164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164" fontId="11" fillId="0" borderId="14" xfId="1" applyNumberFormat="1" applyFont="1" applyFill="1" applyBorder="1" applyAlignment="1">
      <alignment horizontal="center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164" fontId="7" fillId="0" borderId="14" xfId="3" applyNumberFormat="1" applyFont="1" applyFill="1" applyBorder="1"/>
    <xf numFmtId="166" fontId="9" fillId="0" borderId="14" xfId="3" applyFont="1" applyFill="1" applyBorder="1"/>
    <xf numFmtId="164" fontId="9" fillId="0" borderId="14" xfId="3" applyNumberFormat="1" applyFont="1" applyFill="1" applyBorder="1" applyAlignment="1">
      <alignment horizontal="center"/>
    </xf>
    <xf numFmtId="166" fontId="7" fillId="0" borderId="14" xfId="3" applyFont="1" applyFill="1" applyBorder="1" applyAlignment="1">
      <alignment horizontal="left"/>
    </xf>
    <xf numFmtId="166" fontId="7" fillId="0" borderId="14" xfId="3" applyFont="1" applyFill="1" applyBorder="1"/>
    <xf numFmtId="0" fontId="4" fillId="6" borderId="10" xfId="0" applyFont="1" applyFill="1" applyBorder="1"/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164" fontId="9" fillId="0" borderId="13" xfId="1" applyNumberFormat="1" applyFont="1" applyFill="1" applyBorder="1" applyAlignment="1">
      <alignment vertical="center" wrapText="1"/>
    </xf>
    <xf numFmtId="170" fontId="9" fillId="0" borderId="13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vertical="center" wrapText="1"/>
    </xf>
    <xf numFmtId="164" fontId="7" fillId="0" borderId="0" xfId="0" applyNumberFormat="1" applyFont="1" applyFill="1"/>
    <xf numFmtId="164" fontId="7" fillId="10" borderId="14" xfId="1" applyNumberFormat="1" applyFont="1" applyFill="1" applyBorder="1"/>
    <xf numFmtId="164" fontId="16" fillId="10" borderId="0" xfId="1" applyNumberFormat="1" applyFont="1" applyFill="1" applyBorder="1"/>
    <xf numFmtId="0" fontId="16" fillId="10" borderId="0" xfId="1" applyFont="1" applyFill="1" applyBorder="1"/>
    <xf numFmtId="164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164" fontId="8" fillId="10" borderId="10" xfId="1" applyNumberFormat="1" applyFont="1" applyFill="1" applyBorder="1"/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164" fontId="6" fillId="10" borderId="10" xfId="2" applyNumberFormat="1" applyFont="1" applyFill="1" applyBorder="1"/>
    <xf numFmtId="164" fontId="11" fillId="10" borderId="14" xfId="1" applyNumberFormat="1" applyFont="1" applyFill="1" applyBorder="1" applyAlignment="1">
      <alignment horizontal="center"/>
    </xf>
    <xf numFmtId="164" fontId="11" fillId="10" borderId="10" xfId="2" applyNumberFormat="1" applyFont="1" applyFill="1" applyBorder="1"/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/>
    <xf numFmtId="0" fontId="11" fillId="0" borderId="6" xfId="1" applyFont="1" applyFill="1" applyBorder="1"/>
    <xf numFmtId="164" fontId="11" fillId="10" borderId="13" xfId="1" applyNumberFormat="1" applyFont="1" applyFill="1" applyBorder="1"/>
    <xf numFmtId="164" fontId="11" fillId="10" borderId="10" xfId="1" applyNumberFormat="1" applyFont="1" applyFill="1" applyBorder="1"/>
    <xf numFmtId="164" fontId="15" fillId="10" borderId="10" xfId="1" applyNumberFormat="1" applyFont="1" applyFill="1" applyBorder="1"/>
    <xf numFmtId="0" fontId="16" fillId="10" borderId="10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 applyAlignment="1">
      <alignment horizontal="right"/>
    </xf>
    <xf numFmtId="164" fontId="11" fillId="11" borderId="10" xfId="1" applyNumberFormat="1" applyFont="1" applyFill="1" applyBorder="1"/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/>
    </xf>
    <xf numFmtId="164" fontId="7" fillId="10" borderId="2" xfId="1" applyNumberFormat="1" applyFont="1" applyFill="1" applyBorder="1"/>
    <xf numFmtId="164" fontId="11" fillId="10" borderId="2" xfId="1" applyNumberFormat="1" applyFont="1" applyFill="1" applyBorder="1" applyAlignment="1">
      <alignment horizontal="right"/>
    </xf>
    <xf numFmtId="164" fontId="6" fillId="10" borderId="2" xfId="1" applyNumberFormat="1" applyFont="1" applyFill="1" applyBorder="1" applyAlignment="1">
      <alignment horizontal="center"/>
    </xf>
    <xf numFmtId="164" fontId="6" fillId="10" borderId="2" xfId="1" applyNumberFormat="1" applyFont="1" applyFill="1" applyBorder="1"/>
    <xf numFmtId="164" fontId="6" fillId="10" borderId="4" xfId="1" applyNumberFormat="1" applyFont="1" applyFill="1" applyBorder="1"/>
    <xf numFmtId="164" fontId="6" fillId="10" borderId="14" xfId="1" applyNumberFormat="1" applyFont="1" applyFill="1" applyBorder="1"/>
    <xf numFmtId="164" fontId="11" fillId="10" borderId="14" xfId="1" applyNumberFormat="1" applyFont="1" applyFill="1" applyBorder="1"/>
    <xf numFmtId="171" fontId="6" fillId="10" borderId="10" xfId="2" applyNumberFormat="1" applyFont="1" applyFill="1" applyBorder="1"/>
    <xf numFmtId="2" fontId="16" fillId="10" borderId="2" xfId="1" applyNumberFormat="1" applyFont="1" applyFill="1" applyBorder="1" applyAlignment="1">
      <alignment horizontal="center"/>
    </xf>
    <xf numFmtId="164" fontId="11" fillId="10" borderId="7" xfId="1" applyNumberFormat="1" applyFont="1" applyFill="1" applyBorder="1"/>
    <xf numFmtId="0" fontId="6" fillId="10" borderId="14" xfId="1" applyFont="1" applyFill="1" applyBorder="1"/>
    <xf numFmtId="164" fontId="11" fillId="10" borderId="10" xfId="1" applyNumberFormat="1" applyFont="1" applyFill="1" applyBorder="1" applyAlignment="1">
      <alignment horizontal="center" wrapText="1"/>
    </xf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164" fontId="6" fillId="10" borderId="10" xfId="1" applyNumberFormat="1" applyFont="1" applyFill="1" applyBorder="1" applyAlignment="1">
      <alignment horizontal="center"/>
    </xf>
    <xf numFmtId="164" fontId="7" fillId="10" borderId="14" xfId="3" applyNumberFormat="1" applyFont="1" applyFill="1" applyBorder="1" applyAlignment="1">
      <alignment horizontal="center"/>
    </xf>
    <xf numFmtId="164" fontId="9" fillId="10" borderId="10" xfId="3" applyNumberFormat="1" applyFont="1" applyFill="1" applyBorder="1" applyAlignment="1">
      <alignment horizontal="center"/>
    </xf>
    <xf numFmtId="164" fontId="9" fillId="10" borderId="14" xfId="3" applyNumberFormat="1" applyFont="1" applyFill="1" applyBorder="1" applyAlignment="1">
      <alignment horizontal="center"/>
    </xf>
    <xf numFmtId="164" fontId="7" fillId="10" borderId="10" xfId="3" applyNumberFormat="1" applyFont="1" applyFill="1" applyBorder="1" applyAlignment="1">
      <alignment horizontal="center"/>
    </xf>
    <xf numFmtId="0" fontId="7" fillId="10" borderId="14" xfId="1" applyFont="1" applyFill="1" applyBorder="1"/>
    <xf numFmtId="164" fontId="7" fillId="10" borderId="14" xfId="3" applyNumberFormat="1" applyFont="1" applyFill="1" applyBorder="1"/>
    <xf numFmtId="0" fontId="11" fillId="10" borderId="10" xfId="1" applyFont="1" applyFill="1" applyBorder="1" applyAlignment="1">
      <alignment horizontal="center"/>
    </xf>
    <xf numFmtId="164" fontId="6" fillId="10" borderId="2" xfId="1" applyNumberFormat="1" applyFont="1" applyFill="1" applyBorder="1" applyAlignment="1">
      <alignment horizontal="right"/>
    </xf>
    <xf numFmtId="171" fontId="15" fillId="10" borderId="2" xfId="1" applyNumberFormat="1" applyFont="1" applyFill="1" applyBorder="1"/>
    <xf numFmtId="0" fontId="6" fillId="10" borderId="10" xfId="1" applyFont="1" applyFill="1" applyBorder="1" applyAlignment="1">
      <alignment wrapText="1"/>
    </xf>
    <xf numFmtId="171" fontId="6" fillId="10" borderId="2" xfId="2" applyNumberFormat="1" applyFont="1" applyFill="1" applyBorder="1"/>
    <xf numFmtId="0" fontId="6" fillId="10" borderId="10" xfId="1" applyFont="1" applyFill="1" applyBorder="1" applyAlignment="1">
      <alignment horizontal="center"/>
    </xf>
    <xf numFmtId="164" fontId="11" fillId="10" borderId="2" xfId="1" applyNumberFormat="1" applyFont="1" applyFill="1" applyBorder="1"/>
    <xf numFmtId="0" fontId="11" fillId="10" borderId="2" xfId="1" applyFont="1" applyFill="1" applyBorder="1" applyAlignment="1">
      <alignment horizontal="center"/>
    </xf>
    <xf numFmtId="0" fontId="7" fillId="0" borderId="10" xfId="1" applyFont="1" applyFill="1" applyBorder="1" applyAlignment="1">
      <alignment wrapText="1"/>
    </xf>
    <xf numFmtId="164" fontId="11" fillId="7" borderId="10" xfId="2" applyNumberFormat="1" applyFont="1" applyFill="1" applyBorder="1"/>
    <xf numFmtId="0" fontId="7" fillId="0" borderId="10" xfId="1" applyFont="1" applyFill="1" applyBorder="1" applyAlignment="1">
      <alignment wrapText="1"/>
    </xf>
    <xf numFmtId="164" fontId="11" fillId="7" borderId="2" xfId="1" applyNumberFormat="1" applyFont="1" applyFill="1" applyBorder="1"/>
    <xf numFmtId="164" fontId="11" fillId="7" borderId="10" xfId="1" applyNumberFormat="1" applyFont="1" applyFill="1" applyBorder="1" applyAlignment="1">
      <alignment horizontal="right"/>
    </xf>
    <xf numFmtId="164" fontId="6" fillId="10" borderId="12" xfId="2" applyNumberFormat="1" applyFont="1" applyFill="1" applyBorder="1"/>
    <xf numFmtId="0" fontId="6" fillId="10" borderId="0" xfId="1" applyFont="1" applyFill="1" applyBorder="1"/>
    <xf numFmtId="164" fontId="7" fillId="10" borderId="24" xfId="1" applyNumberFormat="1" applyFont="1" applyFill="1" applyBorder="1"/>
    <xf numFmtId="168" fontId="9" fillId="0" borderId="0" xfId="0" applyNumberFormat="1" applyFont="1" applyFill="1" applyAlignment="1">
      <alignment horizontal="center"/>
    </xf>
    <xf numFmtId="168" fontId="7" fillId="0" borderId="2" xfId="1" applyNumberFormat="1" applyFont="1" applyFill="1" applyBorder="1" applyAlignment="1">
      <alignment horizontal="center" vertical="center"/>
    </xf>
    <xf numFmtId="168" fontId="7" fillId="0" borderId="10" xfId="2" applyNumberFormat="1" applyFont="1" applyFill="1" applyBorder="1" applyAlignment="1">
      <alignment horizontal="center" vertical="center"/>
    </xf>
    <xf numFmtId="168" fontId="9" fillId="0" borderId="10" xfId="2" applyNumberFormat="1" applyFont="1" applyFill="1" applyBorder="1" applyAlignment="1">
      <alignment horizontal="center" vertical="center"/>
    </xf>
    <xf numFmtId="168" fontId="18" fillId="0" borderId="2" xfId="2" applyNumberFormat="1" applyFont="1" applyFill="1" applyBorder="1" applyAlignment="1">
      <alignment horizontal="center" vertical="center"/>
    </xf>
    <xf numFmtId="168" fontId="10" fillId="0" borderId="2" xfId="2" applyNumberFormat="1" applyFont="1" applyFill="1" applyBorder="1" applyAlignment="1">
      <alignment horizontal="center" vertical="center"/>
    </xf>
    <xf numFmtId="168" fontId="10" fillId="0" borderId="13" xfId="2" applyNumberFormat="1" applyFont="1" applyFill="1" applyBorder="1" applyAlignment="1">
      <alignment horizontal="center" vertical="center"/>
    </xf>
    <xf numFmtId="168" fontId="16" fillId="0" borderId="10" xfId="2" applyNumberFormat="1" applyFont="1" applyFill="1" applyBorder="1" applyAlignment="1">
      <alignment horizontal="center"/>
    </xf>
    <xf numFmtId="168" fontId="22" fillId="0" borderId="13" xfId="2" applyNumberFormat="1" applyFont="1" applyFill="1" applyBorder="1" applyAlignment="1">
      <alignment horizontal="center" vertical="center"/>
    </xf>
    <xf numFmtId="168" fontId="8" fillId="0" borderId="10" xfId="2" applyNumberFormat="1" applyFont="1" applyFill="1" applyBorder="1" applyAlignment="1">
      <alignment horizontal="center" vertical="center"/>
    </xf>
    <xf numFmtId="164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164" fontId="7" fillId="10" borderId="10" xfId="1" applyNumberFormat="1" applyFont="1" applyFill="1" applyBorder="1" applyAlignment="1">
      <alignment horizontal="center" vertical="center" wrapText="1"/>
    </xf>
    <xf numFmtId="3" fontId="7" fillId="10" borderId="10" xfId="2" applyNumberFormat="1" applyFont="1" applyFill="1" applyBorder="1" applyAlignment="1">
      <alignment horizontal="center" vertical="center"/>
    </xf>
    <xf numFmtId="164" fontId="9" fillId="10" borderId="10" xfId="1" applyNumberFormat="1" applyFont="1" applyFill="1" applyBorder="1" applyAlignment="1">
      <alignment vertical="center" wrapText="1"/>
    </xf>
    <xf numFmtId="164" fontId="7" fillId="10" borderId="13" xfId="1" applyNumberFormat="1" applyFont="1" applyFill="1" applyBorder="1" applyAlignment="1">
      <alignment vertical="center" wrapText="1"/>
    </xf>
    <xf numFmtId="164" fontId="9" fillId="10" borderId="10" xfId="1" applyNumberFormat="1" applyFont="1" applyFill="1" applyBorder="1" applyAlignment="1">
      <alignment horizontal="center" vertical="center" wrapText="1"/>
    </xf>
    <xf numFmtId="0" fontId="7" fillId="10" borderId="14" xfId="1" applyFont="1" applyFill="1" applyBorder="1" applyAlignment="1">
      <alignment horizontal="left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15" fillId="0" borderId="6" xfId="1" applyFont="1" applyFill="1" applyBorder="1" applyAlignment="1">
      <alignment horizontal="left" indent="2"/>
    </xf>
    <xf numFmtId="171" fontId="15" fillId="0" borderId="20" xfId="2" applyNumberFormat="1" applyFont="1" applyFill="1" applyBorder="1"/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164" fontId="11" fillId="14" borderId="10" xfId="2" applyNumberFormat="1" applyFont="1" applyFill="1" applyBorder="1"/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164" fontId="11" fillId="18" borderId="10" xfId="1" applyNumberFormat="1" applyFont="1" applyFill="1" applyBorder="1" applyAlignment="1">
      <alignment horizontal="right"/>
    </xf>
    <xf numFmtId="164" fontId="11" fillId="18" borderId="10" xfId="2" applyNumberFormat="1" applyFont="1" applyFill="1" applyBorder="1"/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164" fontId="11" fillId="17" borderId="10" xfId="1" applyNumberFormat="1" applyFont="1" applyFill="1" applyBorder="1" applyAlignment="1">
      <alignment horizontal="right"/>
    </xf>
    <xf numFmtId="0" fontId="11" fillId="17" borderId="2" xfId="1" applyFont="1" applyFill="1" applyBorder="1" applyAlignment="1">
      <alignment horizontal="left" indent="1"/>
    </xf>
    <xf numFmtId="164" fontId="11" fillId="17" borderId="10" xfId="2" applyNumberFormat="1" applyFont="1" applyFill="1" applyBorder="1"/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164" fontId="7" fillId="14" borderId="13" xfId="1" applyNumberFormat="1" applyFont="1" applyFill="1" applyBorder="1"/>
    <xf numFmtId="164" fontId="7" fillId="14" borderId="10" xfId="3" applyNumberFormat="1" applyFont="1" applyFill="1" applyBorder="1"/>
    <xf numFmtId="0" fontId="11" fillId="15" borderId="13" xfId="1" applyFont="1" applyFill="1" applyBorder="1"/>
    <xf numFmtId="171" fontId="11" fillId="15" borderId="13" xfId="2" applyNumberFormat="1" applyFont="1" applyFill="1" applyBorder="1"/>
    <xf numFmtId="0" fontId="13" fillId="15" borderId="10" xfId="0" applyFont="1" applyFill="1" applyBorder="1" applyAlignment="1">
      <alignment horizontal="left" wrapText="1" indent="2"/>
    </xf>
    <xf numFmtId="164" fontId="6" fillId="15" borderId="10" xfId="2" applyNumberFormat="1" applyFont="1" applyFill="1" applyBorder="1"/>
    <xf numFmtId="164" fontId="6" fillId="10" borderId="14" xfId="1" applyNumberFormat="1" applyFont="1" applyFill="1" applyBorder="1" applyAlignment="1">
      <alignment horizontal="right"/>
    </xf>
    <xf numFmtId="171" fontId="15" fillId="0" borderId="16" xfId="2" applyNumberFormat="1" applyFont="1" applyFill="1" applyBorder="1"/>
    <xf numFmtId="171" fontId="15" fillId="10" borderId="16" xfId="2" applyNumberFormat="1" applyFont="1" applyFill="1" applyBorder="1"/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164" fontId="6" fillId="23" borderId="13" xfId="1" applyNumberFormat="1" applyFont="1" applyFill="1" applyBorder="1" applyAlignment="1">
      <alignment horizontal="right"/>
    </xf>
    <xf numFmtId="164" fontId="11" fillId="23" borderId="10" xfId="1" applyNumberFormat="1" applyFont="1" applyFill="1" applyBorder="1" applyAlignment="1">
      <alignment horizontal="right"/>
    </xf>
    <xf numFmtId="171" fontId="9" fillId="23" borderId="10" xfId="2" applyNumberFormat="1" applyFont="1" applyFill="1" applyBorder="1"/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164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8" fontId="18" fillId="10" borderId="13" xfId="2" applyNumberFormat="1" applyFont="1" applyFill="1" applyBorder="1" applyAlignment="1">
      <alignment horizontal="center" vertical="center"/>
    </xf>
    <xf numFmtId="168" fontId="7" fillId="10" borderId="10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8" fontId="9" fillId="10" borderId="10" xfId="2" applyNumberFormat="1" applyFont="1" applyFill="1" applyBorder="1" applyAlignment="1">
      <alignment horizontal="center" vertical="center"/>
    </xf>
    <xf numFmtId="171" fontId="11" fillId="10" borderId="2" xfId="1" applyNumberFormat="1" applyFont="1" applyFill="1" applyBorder="1"/>
    <xf numFmtId="0" fontId="11" fillId="14" borderId="13" xfId="1" applyFont="1" applyFill="1" applyBorder="1" applyAlignment="1">
      <alignment horizontal="left" indent="1"/>
    </xf>
    <xf numFmtId="171" fontId="11" fillId="14" borderId="13" xfId="2" applyNumberFormat="1" applyFont="1" applyFill="1" applyBorder="1"/>
    <xf numFmtId="164" fontId="6" fillId="11" borderId="13" xfId="1" applyNumberFormat="1" applyFont="1" applyFill="1" applyBorder="1"/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6" fillId="11" borderId="13" xfId="1" applyFont="1" applyFill="1" applyBorder="1"/>
    <xf numFmtId="0" fontId="15" fillId="21" borderId="13" xfId="1" applyFont="1" applyFill="1" applyBorder="1"/>
    <xf numFmtId="0" fontId="6" fillId="21" borderId="13" xfId="1" applyFont="1" applyFill="1" applyBorder="1"/>
    <xf numFmtId="164" fontId="7" fillId="21" borderId="10" xfId="3" applyNumberFormat="1" applyFont="1" applyFill="1" applyBorder="1" applyAlignment="1">
      <alignment horizontal="center"/>
    </xf>
    <xf numFmtId="0" fontId="11" fillId="21" borderId="10" xfId="1" applyFont="1" applyFill="1" applyBorder="1" applyAlignment="1">
      <alignment horizontal="left" indent="1"/>
    </xf>
    <xf numFmtId="0" fontId="11" fillId="20" borderId="13" xfId="1" applyFont="1" applyFill="1" applyBorder="1" applyAlignment="1">
      <alignment horizontal="left" indent="1"/>
    </xf>
    <xf numFmtId="164" fontId="6" fillId="20" borderId="13" xfId="1" applyNumberFormat="1" applyFont="1" applyFill="1" applyBorder="1"/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20" borderId="10" xfId="1" applyFont="1" applyFill="1" applyBorder="1" applyAlignment="1">
      <alignment horizontal="left" indent="1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164" fontId="11" fillId="15" borderId="13" xfId="1" applyNumberFormat="1" applyFont="1" applyFill="1" applyBorder="1"/>
    <xf numFmtId="4" fontId="11" fillId="16" borderId="13" xfId="1" applyNumberFormat="1" applyFont="1" applyFill="1" applyBorder="1" applyAlignment="1">
      <alignment horizontal="left" wrapText="1" indent="1"/>
    </xf>
    <xf numFmtId="169" fontId="11" fillId="16" borderId="13" xfId="4" applyNumberFormat="1" applyFont="1" applyFill="1" applyBorder="1"/>
    <xf numFmtId="3" fontId="9" fillId="10" borderId="10" xfId="2" applyNumberFormat="1" applyFont="1" applyFill="1" applyBorder="1" applyAlignment="1">
      <alignment horizontal="center" vertical="center" wrapText="1"/>
    </xf>
    <xf numFmtId="168" fontId="9" fillId="10" borderId="10" xfId="2" applyNumberFormat="1" applyFont="1" applyFill="1" applyBorder="1" applyAlignment="1">
      <alignment horizontal="center" vertical="center" wrapText="1"/>
    </xf>
    <xf numFmtId="3" fontId="8" fillId="10" borderId="10" xfId="2" applyNumberFormat="1" applyFont="1" applyFill="1" applyBorder="1" applyAlignment="1">
      <alignment horizontal="center" vertical="center"/>
    </xf>
    <xf numFmtId="168" fontId="8" fillId="10" borderId="10" xfId="2" applyNumberFormat="1" applyFont="1" applyFill="1" applyBorder="1" applyAlignment="1">
      <alignment horizontal="center" vertical="center"/>
    </xf>
    <xf numFmtId="164" fontId="8" fillId="10" borderId="10" xfId="1" applyNumberFormat="1" applyFont="1" applyFill="1" applyBorder="1" applyAlignment="1">
      <alignment horizontal="center" vertical="center" wrapText="1"/>
    </xf>
    <xf numFmtId="0" fontId="11" fillId="4" borderId="1" xfId="1" applyFont="1" applyFill="1" applyBorder="1"/>
    <xf numFmtId="164" fontId="6" fillId="0" borderId="1" xfId="1" applyNumberFormat="1" applyFont="1" applyFill="1" applyBorder="1"/>
    <xf numFmtId="164" fontId="6" fillId="10" borderId="1" xfId="1" applyNumberFormat="1" applyFont="1" applyFill="1" applyBorder="1"/>
    <xf numFmtId="164" fontId="11" fillId="21" borderId="1" xfId="1" applyNumberFormat="1" applyFont="1" applyFill="1" applyBorder="1" applyAlignment="1">
      <alignment horizontal="left" wrapText="1" indent="1"/>
    </xf>
    <xf numFmtId="164" fontId="11" fillId="0" borderId="1" xfId="1" applyNumberFormat="1" applyFont="1" applyFill="1" applyBorder="1"/>
    <xf numFmtId="164" fontId="11" fillId="10" borderId="1" xfId="1" applyNumberFormat="1" applyFont="1" applyFill="1" applyBorder="1"/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164" fontId="6" fillId="14" borderId="2" xfId="1" applyNumberFormat="1" applyFont="1" applyFill="1" applyBorder="1"/>
    <xf numFmtId="0" fontId="16" fillId="14" borderId="2" xfId="1" applyFont="1" applyFill="1" applyBorder="1"/>
    <xf numFmtId="164" fontId="11" fillId="17" borderId="2" xfId="1" applyNumberFormat="1" applyFont="1" applyFill="1" applyBorder="1"/>
    <xf numFmtId="0" fontId="11" fillId="19" borderId="2" xfId="1" applyFont="1" applyFill="1" applyBorder="1" applyAlignment="1">
      <alignment horizontal="left" indent="1"/>
    </xf>
    <xf numFmtId="3" fontId="6" fillId="7" borderId="2" xfId="1" applyNumberFormat="1" applyFont="1" applyFill="1" applyBorder="1"/>
    <xf numFmtId="0" fontId="11" fillId="10" borderId="6" xfId="1" applyFont="1" applyFill="1" applyBorder="1"/>
    <xf numFmtId="164" fontId="11" fillId="24" borderId="10" xfId="1" applyNumberFormat="1" applyFont="1" applyFill="1" applyBorder="1" applyAlignment="1">
      <alignment horizontal="center"/>
    </xf>
    <xf numFmtId="0" fontId="6" fillId="24" borderId="10" xfId="0" applyFont="1" applyFill="1" applyBorder="1" applyAlignment="1">
      <alignment horizontal="left" wrapText="1" indent="2"/>
    </xf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164" fontId="9" fillId="10" borderId="12" xfId="1" applyNumberFormat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164" fontId="15" fillId="0" borderId="14" xfId="1" applyNumberFormat="1" applyFont="1" applyFill="1" applyBorder="1" applyAlignment="1">
      <alignment horizontal="center"/>
    </xf>
    <xf numFmtId="164" fontId="11" fillId="0" borderId="14" xfId="2" applyNumberFormat="1" applyFont="1" applyFill="1" applyBorder="1"/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164" fontId="11" fillId="23" borderId="12" xfId="1" applyNumberFormat="1" applyFont="1" applyFill="1" applyBorder="1" applyAlignment="1">
      <alignment horizontal="right"/>
    </xf>
    <xf numFmtId="0" fontId="6" fillId="23" borderId="9" xfId="0" applyFont="1" applyFill="1" applyBorder="1" applyAlignment="1">
      <alignment horizontal="left" wrapText="1" indent="2"/>
    </xf>
    <xf numFmtId="164" fontId="11" fillId="23" borderId="3" xfId="1" applyNumberFormat="1" applyFont="1" applyFill="1" applyBorder="1" applyAlignment="1">
      <alignment horizontal="right"/>
    </xf>
    <xf numFmtId="0" fontId="6" fillId="11" borderId="14" xfId="0" applyFont="1" applyFill="1" applyBorder="1" applyAlignment="1">
      <alignment horizontal="left" wrapText="1" indent="2"/>
    </xf>
    <xf numFmtId="164" fontId="9" fillId="11" borderId="14" xfId="1" applyNumberFormat="1" applyFont="1" applyFill="1" applyBorder="1"/>
    <xf numFmtId="164" fontId="11" fillId="24" borderId="10" xfId="2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164" fontId="6" fillId="10" borderId="0" xfId="2" applyNumberFormat="1" applyFont="1" applyFill="1" applyBorder="1"/>
    <xf numFmtId="0" fontId="11" fillId="0" borderId="19" xfId="0" applyFont="1" applyFill="1" applyBorder="1" applyAlignment="1">
      <alignment horizontal="left"/>
    </xf>
    <xf numFmtId="164" fontId="6" fillId="10" borderId="28" xfId="2" applyNumberFormat="1" applyFont="1" applyFill="1" applyBorder="1"/>
    <xf numFmtId="0" fontId="6" fillId="9" borderId="2" xfId="0" applyFont="1" applyFill="1" applyBorder="1" applyAlignment="1">
      <alignment horizontal="left" wrapText="1" indent="2"/>
    </xf>
    <xf numFmtId="171" fontId="16" fillId="15" borderId="10" xfId="1" applyNumberFormat="1" applyFont="1" applyFill="1" applyBorder="1"/>
    <xf numFmtId="164" fontId="9" fillId="15" borderId="10" xfId="3" applyNumberFormat="1" applyFont="1" applyFill="1" applyBorder="1" applyAlignment="1">
      <alignment horizontal="center"/>
    </xf>
    <xf numFmtId="164" fontId="8" fillId="14" borderId="10" xfId="3" applyNumberFormat="1" applyFont="1" applyFill="1" applyBorder="1" applyAlignment="1">
      <alignment horizontal="center"/>
    </xf>
    <xf numFmtId="164" fontId="6" fillId="11" borderId="10" xfId="1" applyNumberFormat="1" applyFont="1" applyFill="1" applyBorder="1"/>
    <xf numFmtId="164" fontId="8" fillId="21" borderId="10" xfId="3" applyNumberFormat="1" applyFont="1" applyFill="1" applyBorder="1" applyAlignment="1">
      <alignment horizontal="center"/>
    </xf>
    <xf numFmtId="164" fontId="8" fillId="20" borderId="10" xfId="3" applyNumberFormat="1" applyFont="1" applyFill="1" applyBorder="1" applyAlignment="1">
      <alignment horizontal="center"/>
    </xf>
    <xf numFmtId="164" fontId="12" fillId="20" borderId="10" xfId="3" applyNumberFormat="1" applyFont="1" applyFill="1" applyBorder="1" applyAlignment="1">
      <alignment horizontal="center"/>
    </xf>
    <xf numFmtId="164" fontId="8" fillId="11" borderId="10" xfId="3" applyNumberFormat="1" applyFont="1" applyFill="1" applyBorder="1" applyAlignment="1">
      <alignment horizontal="center"/>
    </xf>
    <xf numFmtId="164" fontId="12" fillId="11" borderId="10" xfId="3" applyNumberFormat="1" applyFont="1" applyFill="1" applyBorder="1" applyAlignment="1">
      <alignment horizontal="center"/>
    </xf>
    <xf numFmtId="164" fontId="8" fillId="15" borderId="10" xfId="3" applyNumberFormat="1" applyFont="1" applyFill="1" applyBorder="1" applyAlignment="1">
      <alignment horizontal="center"/>
    </xf>
    <xf numFmtId="164" fontId="8" fillId="16" borderId="10" xfId="3" applyNumberFormat="1" applyFont="1" applyFill="1" applyBorder="1" applyAlignment="1">
      <alignment horizontal="center"/>
    </xf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164" fontId="7" fillId="0" borderId="6" xfId="1" applyNumberFormat="1" applyFont="1" applyFill="1" applyBorder="1"/>
    <xf numFmtId="164" fontId="8" fillId="0" borderId="6" xfId="1" applyNumberFormat="1" applyFont="1" applyFill="1" applyBorder="1"/>
    <xf numFmtId="164" fontId="6" fillId="0" borderId="6" xfId="2" applyNumberFormat="1" applyFont="1" applyFill="1" applyBorder="1"/>
    <xf numFmtId="164" fontId="11" fillId="0" borderId="6" xfId="2" applyNumberFormat="1" applyFont="1" applyFill="1" applyBorder="1"/>
    <xf numFmtId="172" fontId="25" fillId="10" borderId="0" xfId="1" applyNumberFormat="1" applyFont="1" applyFill="1" applyAlignment="1">
      <alignment horizontal="center"/>
    </xf>
    <xf numFmtId="172" fontId="6" fillId="10" borderId="5" xfId="1" applyNumberFormat="1" applyFont="1" applyFill="1" applyBorder="1" applyAlignment="1">
      <alignment horizontal="center" vertical="center" wrapText="1"/>
    </xf>
    <xf numFmtId="172" fontId="6" fillId="0" borderId="6" xfId="1" applyNumberFormat="1" applyFont="1" applyFill="1" applyBorder="1" applyAlignment="1">
      <alignment horizontal="center"/>
    </xf>
    <xf numFmtId="172" fontId="6" fillId="10" borderId="2" xfId="1" applyNumberFormat="1" applyFont="1" applyFill="1" applyBorder="1" applyAlignment="1">
      <alignment horizontal="center" vertical="center" wrapText="1"/>
    </xf>
    <xf numFmtId="172" fontId="6" fillId="10" borderId="10" xfId="1" applyNumberFormat="1" applyFont="1" applyFill="1" applyBorder="1" applyAlignment="1">
      <alignment horizontal="center"/>
    </xf>
    <xf numFmtId="172" fontId="7" fillId="10" borderId="14" xfId="1" applyNumberFormat="1" applyFont="1" applyFill="1" applyBorder="1"/>
    <xf numFmtId="172" fontId="6" fillId="10" borderId="2" xfId="1" applyNumberFormat="1" applyFont="1" applyFill="1" applyBorder="1"/>
    <xf numFmtId="172" fontId="6" fillId="10" borderId="10" xfId="2" applyNumberFormat="1" applyFont="1" applyFill="1" applyBorder="1"/>
    <xf numFmtId="172" fontId="6" fillId="10" borderId="4" xfId="2" applyNumberFormat="1" applyFont="1" applyFill="1" applyBorder="1"/>
    <xf numFmtId="172" fontId="6" fillId="10" borderId="10" xfId="1" applyNumberFormat="1" applyFont="1" applyFill="1" applyBorder="1"/>
    <xf numFmtId="172" fontId="11" fillId="10" borderId="10" xfId="1" applyNumberFormat="1" applyFont="1" applyFill="1" applyBorder="1" applyAlignment="1">
      <alignment horizontal="right"/>
    </xf>
    <xf numFmtId="172" fontId="6" fillId="10" borderId="10" xfId="1" applyNumberFormat="1" applyFont="1" applyFill="1" applyBorder="1" applyAlignment="1">
      <alignment horizontal="right"/>
    </xf>
    <xf numFmtId="172" fontId="11" fillId="10" borderId="14" xfId="1" applyNumberFormat="1" applyFont="1" applyFill="1" applyBorder="1" applyAlignment="1">
      <alignment horizontal="right"/>
    </xf>
    <xf numFmtId="172" fontId="11" fillId="10" borderId="14" xfId="1" applyNumberFormat="1" applyFont="1" applyFill="1" applyBorder="1"/>
    <xf numFmtId="172" fontId="11" fillId="10" borderId="10" xfId="1" applyNumberFormat="1" applyFont="1" applyFill="1" applyBorder="1"/>
    <xf numFmtId="172" fontId="16" fillId="0" borderId="0" xfId="1" applyNumberFormat="1" applyFont="1" applyFill="1"/>
    <xf numFmtId="172" fontId="6" fillId="10" borderId="14" xfId="2" applyNumberFormat="1" applyFont="1" applyFill="1" applyBorder="1"/>
    <xf numFmtId="172" fontId="7" fillId="10" borderId="14" xfId="2" applyNumberFormat="1" applyFont="1" applyFill="1" applyBorder="1"/>
    <xf numFmtId="172" fontId="6" fillId="10" borderId="2" xfId="1" applyNumberFormat="1" applyFont="1" applyFill="1" applyBorder="1" applyAlignment="1">
      <alignment horizontal="center"/>
    </xf>
    <xf numFmtId="172" fontId="6" fillId="10" borderId="12" xfId="1" applyNumberFormat="1" applyFont="1" applyFill="1" applyBorder="1" applyAlignment="1">
      <alignment horizontal="center"/>
    </xf>
    <xf numFmtId="172" fontId="6" fillId="10" borderId="1" xfId="1" applyNumberFormat="1" applyFont="1" applyFill="1" applyBorder="1"/>
    <xf numFmtId="172" fontId="6" fillId="0" borderId="14" xfId="1" applyNumberFormat="1" applyFont="1" applyFill="1" applyBorder="1"/>
    <xf numFmtId="172" fontId="16" fillId="10" borderId="2" xfId="1" applyNumberFormat="1" applyFont="1" applyFill="1" applyBorder="1" applyAlignment="1">
      <alignment horizontal="center"/>
    </xf>
    <xf numFmtId="172" fontId="15" fillId="10" borderId="20" xfId="2" applyNumberFormat="1" applyFont="1" applyFill="1" applyBorder="1"/>
    <xf numFmtId="172" fontId="16" fillId="14" borderId="2" xfId="1" applyNumberFormat="1" applyFont="1" applyFill="1" applyBorder="1"/>
    <xf numFmtId="172" fontId="11" fillId="0" borderId="14" xfId="1" applyNumberFormat="1" applyFont="1" applyFill="1" applyBorder="1" applyAlignment="1">
      <alignment horizontal="right"/>
    </xf>
    <xf numFmtId="172" fontId="6" fillId="10" borderId="14" xfId="1" applyNumberFormat="1" applyFont="1" applyFill="1" applyBorder="1"/>
    <xf numFmtId="172" fontId="6" fillId="0" borderId="2" xfId="1" applyNumberFormat="1" applyFont="1" applyFill="1" applyBorder="1" applyAlignment="1">
      <alignment horizontal="left" indent="2"/>
    </xf>
    <xf numFmtId="172" fontId="11" fillId="17" borderId="2" xfId="1" applyNumberFormat="1" applyFont="1" applyFill="1" applyBorder="1"/>
    <xf numFmtId="172" fontId="6" fillId="7" borderId="2" xfId="1" applyNumberFormat="1" applyFont="1" applyFill="1" applyBorder="1"/>
    <xf numFmtId="172" fontId="11" fillId="10" borderId="10" xfId="1" applyNumberFormat="1" applyFont="1" applyFill="1" applyBorder="1" applyAlignment="1">
      <alignment horizontal="center"/>
    </xf>
    <xf numFmtId="172" fontId="11" fillId="10" borderId="1" xfId="1" applyNumberFormat="1" applyFont="1" applyFill="1" applyBorder="1"/>
    <xf numFmtId="172" fontId="16" fillId="10" borderId="0" xfId="1" applyNumberFormat="1" applyFont="1" applyFill="1"/>
    <xf numFmtId="172" fontId="16" fillId="10" borderId="0" xfId="1" applyNumberFormat="1" applyFont="1" applyFill="1" applyBorder="1"/>
    <xf numFmtId="172" fontId="6" fillId="10" borderId="12" xfId="1" applyNumberFormat="1" applyFont="1" applyFill="1" applyBorder="1" applyAlignment="1">
      <alignment horizontal="right"/>
    </xf>
    <xf numFmtId="164" fontId="11" fillId="0" borderId="6" xfId="1" applyNumberFormat="1" applyFont="1" applyFill="1" applyBorder="1" applyAlignment="1">
      <alignment horizontal="right"/>
    </xf>
    <xf numFmtId="172" fontId="11" fillId="0" borderId="6" xfId="1" applyNumberFormat="1" applyFont="1" applyFill="1" applyBorder="1" applyAlignment="1">
      <alignment horizontal="right"/>
    </xf>
    <xf numFmtId="164" fontId="6" fillId="10" borderId="12" xfId="1" applyNumberFormat="1" applyFont="1" applyFill="1" applyBorder="1"/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164" fontId="6" fillId="10" borderId="6" xfId="1" applyNumberFormat="1" applyFont="1" applyFill="1" applyBorder="1"/>
    <xf numFmtId="172" fontId="25" fillId="0" borderId="0" xfId="1" applyNumberFormat="1" applyFont="1" applyFill="1" applyAlignment="1">
      <alignment horizontal="center"/>
    </xf>
    <xf numFmtId="172" fontId="6" fillId="0" borderId="5" xfId="1" applyNumberFormat="1" applyFont="1" applyFill="1" applyBorder="1" applyAlignment="1">
      <alignment horizontal="center" vertical="center" wrapText="1"/>
    </xf>
    <xf numFmtId="172" fontId="6" fillId="0" borderId="2" xfId="1" applyNumberFormat="1" applyFont="1" applyFill="1" applyBorder="1" applyAlignment="1">
      <alignment horizontal="center" vertical="center" wrapText="1"/>
    </xf>
    <xf numFmtId="172" fontId="7" fillId="0" borderId="20" xfId="1" applyNumberFormat="1" applyFont="1" applyFill="1" applyBorder="1"/>
    <xf numFmtId="172" fontId="7" fillId="10" borderId="24" xfId="1" applyNumberFormat="1" applyFont="1" applyFill="1" applyBorder="1"/>
    <xf numFmtId="172" fontId="6" fillId="0" borderId="2" xfId="1" applyNumberFormat="1" applyFont="1" applyFill="1" applyBorder="1"/>
    <xf numFmtId="172" fontId="11" fillId="0" borderId="20" xfId="2" applyNumberFormat="1" applyFont="1" applyFill="1" applyBorder="1"/>
    <xf numFmtId="172" fontId="11" fillId="0" borderId="20" xfId="1" applyNumberFormat="1" applyFont="1" applyFill="1" applyBorder="1" applyAlignment="1">
      <alignment horizontal="right"/>
    </xf>
    <xf numFmtId="172" fontId="6" fillId="0" borderId="14" xfId="2" applyNumberFormat="1" applyFont="1" applyFill="1" applyBorder="1"/>
    <xf numFmtId="172" fontId="6" fillId="0" borderId="1" xfId="1" applyNumberFormat="1" applyFont="1" applyFill="1" applyBorder="1"/>
    <xf numFmtId="172" fontId="15" fillId="0" borderId="20" xfId="2" applyNumberFormat="1" applyFont="1" applyFill="1" applyBorder="1"/>
    <xf numFmtId="172" fontId="11" fillId="0" borderId="1" xfId="1" applyNumberFormat="1" applyFont="1" applyFill="1" applyBorder="1"/>
    <xf numFmtId="172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0" fontId="11" fillId="14" borderId="6" xfId="1" applyFont="1" applyFill="1" applyBorder="1" applyAlignment="1">
      <alignment horizontal="right" wrapText="1" indent="3"/>
    </xf>
    <xf numFmtId="164" fontId="11" fillId="14" borderId="6" xfId="2" applyNumberFormat="1" applyFont="1" applyFill="1" applyBorder="1"/>
    <xf numFmtId="164" fontId="6" fillId="14" borderId="6" xfId="2" applyNumberFormat="1" applyFont="1" applyFill="1" applyBorder="1"/>
    <xf numFmtId="172" fontId="11" fillId="14" borderId="6" xfId="1" applyNumberFormat="1" applyFont="1" applyFill="1" applyBorder="1" applyAlignment="1">
      <alignment horizontal="right"/>
    </xf>
    <xf numFmtId="164" fontId="11" fillId="24" borderId="12" xfId="2" applyNumberFormat="1" applyFont="1" applyFill="1" applyBorder="1"/>
    <xf numFmtId="164" fontId="11" fillId="24" borderId="6" xfId="1" applyNumberFormat="1" applyFont="1" applyFill="1" applyBorder="1" applyAlignment="1">
      <alignment horizontal="center"/>
    </xf>
    <xf numFmtId="164" fontId="11" fillId="24" borderId="6" xfId="2" applyNumberFormat="1" applyFont="1" applyFill="1" applyBorder="1"/>
    <xf numFmtId="172" fontId="11" fillId="24" borderId="6" xfId="1" applyNumberFormat="1" applyFont="1" applyFill="1" applyBorder="1" applyAlignment="1">
      <alignment horizontal="center"/>
    </xf>
    <xf numFmtId="0" fontId="11" fillId="13" borderId="2" xfId="1" applyFont="1" applyFill="1" applyBorder="1" applyAlignment="1">
      <alignment horizontal="left" wrapText="1" indent="1"/>
    </xf>
    <xf numFmtId="164" fontId="11" fillId="18" borderId="2" xfId="1" applyNumberFormat="1" applyFont="1" applyFill="1" applyBorder="1"/>
    <xf numFmtId="172" fontId="11" fillId="18" borderId="2" xfId="1" applyNumberFormat="1" applyFont="1" applyFill="1" applyBorder="1"/>
    <xf numFmtId="0" fontId="11" fillId="18" borderId="2" xfId="1" applyFont="1" applyFill="1" applyBorder="1"/>
    <xf numFmtId="164" fontId="11" fillId="18" borderId="12" xfId="2" applyNumberFormat="1" applyFont="1" applyFill="1" applyBorder="1"/>
    <xf numFmtId="164" fontId="11" fillId="18" borderId="12" xfId="1" applyNumberFormat="1" applyFont="1" applyFill="1" applyBorder="1" applyAlignment="1">
      <alignment horizontal="right"/>
    </xf>
    <xf numFmtId="0" fontId="11" fillId="18" borderId="6" xfId="1" applyFont="1" applyFill="1" applyBorder="1" applyAlignment="1">
      <alignment horizontal="right" wrapText="1" indent="3"/>
    </xf>
    <xf numFmtId="164" fontId="11" fillId="18" borderId="6" xfId="2" applyNumberFormat="1" applyFont="1" applyFill="1" applyBorder="1"/>
    <xf numFmtId="172" fontId="11" fillId="18" borderId="6" xfId="2" applyNumberFormat="1" applyFont="1" applyFill="1" applyBorder="1"/>
    <xf numFmtId="0" fontId="11" fillId="17" borderId="6" xfId="1" applyFont="1" applyFill="1" applyBorder="1" applyAlignment="1">
      <alignment horizontal="left" indent="1"/>
    </xf>
    <xf numFmtId="164" fontId="11" fillId="17" borderId="6" xfId="2" applyNumberFormat="1" applyFont="1" applyFill="1" applyBorder="1"/>
    <xf numFmtId="164" fontId="6" fillId="17" borderId="6" xfId="2" applyNumberFormat="1" applyFont="1" applyFill="1" applyBorder="1"/>
    <xf numFmtId="172" fontId="11" fillId="17" borderId="6" xfId="1" applyNumberFormat="1" applyFont="1" applyFill="1" applyBorder="1" applyAlignment="1">
      <alignment horizontal="right"/>
    </xf>
    <xf numFmtId="164" fontId="11" fillId="17" borderId="6" xfId="1" applyNumberFormat="1" applyFont="1" applyFill="1" applyBorder="1" applyAlignment="1">
      <alignment horizontal="right"/>
    </xf>
    <xf numFmtId="164" fontId="11" fillId="7" borderId="12" xfId="1" applyNumberFormat="1" applyFont="1" applyFill="1" applyBorder="1" applyAlignment="1">
      <alignment horizontal="right"/>
    </xf>
    <xf numFmtId="0" fontId="11" fillId="7" borderId="6" xfId="1" applyFont="1" applyFill="1" applyBorder="1" applyAlignment="1">
      <alignment horizontal="left" indent="1"/>
    </xf>
    <xf numFmtId="164" fontId="11" fillId="7" borderId="6" xfId="2" applyNumberFormat="1" applyFont="1" applyFill="1" applyBorder="1"/>
    <xf numFmtId="172" fontId="11" fillId="7" borderId="6" xfId="2" applyNumberFormat="1" applyFont="1" applyFill="1" applyBorder="1"/>
    <xf numFmtId="164" fontId="11" fillId="7" borderId="12" xfId="2" applyNumberFormat="1" applyFont="1" applyFill="1" applyBorder="1"/>
    <xf numFmtId="164" fontId="6" fillId="10" borderId="12" xfId="1" applyNumberFormat="1" applyFont="1" applyFill="1" applyBorder="1" applyAlignment="1">
      <alignment horizontal="right"/>
    </xf>
    <xf numFmtId="0" fontId="11" fillId="10" borderId="6" xfId="0" applyFont="1" applyFill="1" applyBorder="1" applyAlignment="1">
      <alignment horizontal="left" wrapText="1" indent="2"/>
    </xf>
    <xf numFmtId="164" fontId="11" fillId="10" borderId="6" xfId="2" applyNumberFormat="1" applyFont="1" applyFill="1" applyBorder="1"/>
    <xf numFmtId="164" fontId="15" fillId="10" borderId="6" xfId="1" applyNumberFormat="1" applyFont="1" applyFill="1" applyBorder="1"/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164" fontId="9" fillId="10" borderId="14" xfId="1" applyNumberFormat="1" applyFont="1" applyFill="1" applyBorder="1"/>
    <xf numFmtId="164" fontId="6" fillId="24" borderId="6" xfId="2" applyNumberFormat="1" applyFont="1" applyFill="1" applyBorder="1"/>
    <xf numFmtId="0" fontId="16" fillId="0" borderId="6" xfId="1" applyFont="1" applyFill="1" applyBorder="1" applyAlignment="1">
      <alignment horizontal="left" indent="2"/>
    </xf>
    <xf numFmtId="164" fontId="6" fillId="14" borderId="10" xfId="2" applyNumberFormat="1" applyFont="1" applyFill="1" applyBorder="1"/>
    <xf numFmtId="164" fontId="6" fillId="18" borderId="2" xfId="1" applyNumberFormat="1" applyFont="1" applyFill="1" applyBorder="1"/>
    <xf numFmtId="164" fontId="6" fillId="18" borderId="10" xfId="2" applyNumberFormat="1" applyFont="1" applyFill="1" applyBorder="1"/>
    <xf numFmtId="164" fontId="6" fillId="18" borderId="12" xfId="2" applyNumberFormat="1" applyFont="1" applyFill="1" applyBorder="1"/>
    <xf numFmtId="164" fontId="6" fillId="18" borderId="6" xfId="2" applyNumberFormat="1" applyFont="1" applyFill="1" applyBorder="1"/>
    <xf numFmtId="164" fontId="6" fillId="17" borderId="2" xfId="1" applyNumberFormat="1" applyFont="1" applyFill="1" applyBorder="1"/>
    <xf numFmtId="164" fontId="6" fillId="17" borderId="10" xfId="2" applyNumberFormat="1" applyFont="1" applyFill="1" applyBorder="1"/>
    <xf numFmtId="164" fontId="6" fillId="7" borderId="2" xfId="1" applyNumberFormat="1" applyFont="1" applyFill="1" applyBorder="1"/>
    <xf numFmtId="164" fontId="6" fillId="7" borderId="10" xfId="2" applyNumberFormat="1" applyFont="1" applyFill="1" applyBorder="1"/>
    <xf numFmtId="164" fontId="6" fillId="7" borderId="12" xfId="2" applyNumberFormat="1" applyFont="1" applyFill="1" applyBorder="1"/>
    <xf numFmtId="164" fontId="6" fillId="7" borderId="6" xfId="2" applyNumberFormat="1" applyFont="1" applyFill="1" applyBorder="1"/>
    <xf numFmtId="164" fontId="6" fillId="10" borderId="6" xfId="1" applyNumberFormat="1" applyFont="1" applyFill="1" applyBorder="1" applyAlignment="1">
      <alignment horizontal="right"/>
    </xf>
    <xf numFmtId="164" fontId="6" fillId="0" borderId="6" xfId="1" applyNumberFormat="1" applyFont="1" applyFill="1" applyBorder="1" applyAlignment="1">
      <alignment horizontal="right"/>
    </xf>
    <xf numFmtId="170" fontId="6" fillId="7" borderId="10" xfId="2" applyNumberFormat="1" applyFont="1" applyFill="1" applyBorder="1"/>
    <xf numFmtId="170" fontId="11" fillId="0" borderId="10" xfId="2" applyNumberFormat="1" applyFont="1" applyFill="1" applyBorder="1"/>
    <xf numFmtId="170" fontId="11" fillId="7" borderId="10" xfId="2" applyNumberFormat="1" applyFont="1" applyFill="1" applyBorder="1"/>
    <xf numFmtId="170" fontId="11" fillId="17" borderId="10" xfId="2" applyNumberFormat="1" applyFont="1" applyFill="1" applyBorder="1"/>
    <xf numFmtId="170" fontId="11" fillId="18" borderId="10" xfId="2" applyNumberFormat="1" applyFont="1" applyFill="1" applyBorder="1"/>
    <xf numFmtId="170" fontId="11" fillId="14" borderId="10" xfId="2" applyNumberFormat="1" applyFont="1" applyFill="1" applyBorder="1"/>
    <xf numFmtId="170" fontId="11" fillId="24" borderId="10" xfId="2" applyNumberFormat="1" applyFont="1" applyFill="1" applyBorder="1"/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173" fontId="9" fillId="0" borderId="10" xfId="2" applyNumberFormat="1" applyFont="1" applyFill="1" applyBorder="1"/>
    <xf numFmtId="173" fontId="9" fillId="10" borderId="10" xfId="2" applyNumberFormat="1" applyFont="1" applyFill="1" applyBorder="1"/>
    <xf numFmtId="173" fontId="6" fillId="10" borderId="10" xfId="1" applyNumberFormat="1" applyFont="1" applyFill="1" applyBorder="1"/>
    <xf numFmtId="173" fontId="6" fillId="10" borderId="10" xfId="2" applyNumberFormat="1" applyFont="1" applyFill="1" applyBorder="1"/>
    <xf numFmtId="173" fontId="6" fillId="10" borderId="12" xfId="1" applyNumberFormat="1" applyFont="1" applyFill="1" applyBorder="1"/>
    <xf numFmtId="173" fontId="11" fillId="10" borderId="6" xfId="2" applyNumberFormat="1" applyFont="1" applyFill="1" applyBorder="1"/>
    <xf numFmtId="173" fontId="15" fillId="10" borderId="6" xfId="1" applyNumberFormat="1" applyFont="1" applyFill="1" applyBorder="1"/>
    <xf numFmtId="173" fontId="7" fillId="10" borderId="14" xfId="3" applyNumberFormat="1" applyFont="1" applyFill="1" applyBorder="1" applyAlignment="1">
      <alignment horizontal="center"/>
    </xf>
    <xf numFmtId="173" fontId="9" fillId="0" borderId="14" xfId="2" applyNumberFormat="1" applyFont="1" applyFill="1" applyBorder="1"/>
    <xf numFmtId="173" fontId="9" fillId="10" borderId="14" xfId="2" applyNumberFormat="1" applyFont="1" applyFill="1" applyBorder="1"/>
    <xf numFmtId="173" fontId="6" fillId="10" borderId="10" xfId="1" applyNumberFormat="1" applyFont="1" applyFill="1" applyBorder="1" applyAlignment="1">
      <alignment horizontal="right"/>
    </xf>
    <xf numFmtId="173" fontId="6" fillId="10" borderId="12" xfId="1" applyNumberFormat="1" applyFont="1" applyFill="1" applyBorder="1" applyAlignment="1">
      <alignment horizontal="right"/>
    </xf>
    <xf numFmtId="173" fontId="11" fillId="10" borderId="6" xfId="1" applyNumberFormat="1" applyFont="1" applyFill="1" applyBorder="1"/>
    <xf numFmtId="173" fontId="7" fillId="10" borderId="14" xfId="2" applyNumberFormat="1" applyFont="1" applyFill="1" applyBorder="1"/>
    <xf numFmtId="173" fontId="11" fillId="0" borderId="10" xfId="1" applyNumberFormat="1" applyFont="1" applyFill="1" applyBorder="1" applyAlignment="1">
      <alignment horizontal="right"/>
    </xf>
    <xf numFmtId="173" fontId="11" fillId="10" borderId="10" xfId="1" applyNumberFormat="1" applyFont="1" applyFill="1" applyBorder="1" applyAlignment="1">
      <alignment horizontal="right"/>
    </xf>
    <xf numFmtId="173" fontId="11" fillId="0" borderId="6" xfId="1" applyNumberFormat="1" applyFont="1" applyFill="1" applyBorder="1" applyAlignment="1">
      <alignment horizontal="right"/>
    </xf>
    <xf numFmtId="173" fontId="7" fillId="0" borderId="14" xfId="1" applyNumberFormat="1" applyFont="1" applyFill="1" applyBorder="1"/>
    <xf numFmtId="173" fontId="7" fillId="10" borderId="14" xfId="1" applyNumberFormat="1" applyFont="1" applyFill="1" applyBorder="1"/>
    <xf numFmtId="173" fontId="11" fillId="10" borderId="10" xfId="2" applyNumberFormat="1" applyFont="1" applyFill="1" applyBorder="1"/>
    <xf numFmtId="173" fontId="7" fillId="0" borderId="14" xfId="3" applyNumberFormat="1" applyFont="1" applyFill="1" applyBorder="1"/>
    <xf numFmtId="173" fontId="7" fillId="10" borderId="14" xfId="3" applyNumberFormat="1" applyFont="1" applyFill="1" applyBorder="1"/>
    <xf numFmtId="173" fontId="11" fillId="0" borderId="3" xfId="1" applyNumberFormat="1" applyFont="1" applyFill="1" applyBorder="1"/>
    <xf numFmtId="173" fontId="11" fillId="10" borderId="3" xfId="1" applyNumberFormat="1" applyFont="1" applyFill="1" applyBorder="1"/>
    <xf numFmtId="173" fontId="9" fillId="14" borderId="13" xfId="2" applyNumberFormat="1" applyFont="1" applyFill="1" applyBorder="1"/>
    <xf numFmtId="173" fontId="7" fillId="14" borderId="10" xfId="3" applyNumberFormat="1" applyFont="1" applyFill="1" applyBorder="1"/>
    <xf numFmtId="173" fontId="7" fillId="0" borderId="2" xfId="1" applyNumberFormat="1" applyFont="1" applyFill="1" applyBorder="1"/>
    <xf numFmtId="173" fontId="7" fillId="10" borderId="2" xfId="1" applyNumberFormat="1" applyFont="1" applyFill="1" applyBorder="1"/>
    <xf numFmtId="173" fontId="6" fillId="0" borderId="10" xfId="1" applyNumberFormat="1" applyFont="1" applyFill="1" applyBorder="1"/>
    <xf numFmtId="173" fontId="11" fillId="0" borderId="10" xfId="2" applyNumberFormat="1" applyFont="1" applyFill="1" applyBorder="1"/>
    <xf numFmtId="173" fontId="6" fillId="15" borderId="13" xfId="2" applyNumberFormat="1" applyFont="1" applyFill="1" applyBorder="1"/>
    <xf numFmtId="173" fontId="9" fillId="15" borderId="10" xfId="3" applyNumberFormat="1" applyFont="1" applyFill="1" applyBorder="1" applyAlignment="1">
      <alignment horizontal="center"/>
    </xf>
    <xf numFmtId="173" fontId="7" fillId="15" borderId="10" xfId="3" applyNumberFormat="1" applyFont="1" applyFill="1" applyBorder="1" applyAlignment="1">
      <alignment horizontal="center"/>
    </xf>
    <xf numFmtId="173" fontId="11" fillId="0" borderId="2" xfId="2" applyNumberFormat="1" applyFont="1" applyFill="1" applyBorder="1"/>
    <xf numFmtId="173" fontId="11" fillId="10" borderId="2" xfId="2" applyNumberFormat="1" applyFont="1" applyFill="1" applyBorder="1"/>
    <xf numFmtId="173" fontId="16" fillId="10" borderId="10" xfId="1" applyNumberFormat="1" applyFont="1" applyFill="1" applyBorder="1"/>
    <xf numFmtId="173" fontId="15" fillId="0" borderId="20" xfId="2" applyNumberFormat="1" applyFont="1" applyFill="1" applyBorder="1"/>
    <xf numFmtId="173" fontId="15" fillId="10" borderId="20" xfId="2" applyNumberFormat="1" applyFont="1" applyFill="1" applyBorder="1"/>
    <xf numFmtId="173" fontId="16" fillId="10" borderId="14" xfId="2" applyNumberFormat="1" applyFont="1" applyFill="1" applyBorder="1"/>
    <xf numFmtId="173" fontId="16" fillId="23" borderId="13" xfId="2" applyNumberFormat="1" applyFont="1" applyFill="1" applyBorder="1"/>
    <xf numFmtId="173" fontId="11" fillId="23" borderId="10" xfId="1" applyNumberFormat="1" applyFont="1" applyFill="1" applyBorder="1" applyAlignment="1">
      <alignment horizontal="right"/>
    </xf>
    <xf numFmtId="173" fontId="11" fillId="23" borderId="12" xfId="1" applyNumberFormat="1" applyFont="1" applyFill="1" applyBorder="1" applyAlignment="1">
      <alignment horizontal="right"/>
    </xf>
    <xf numFmtId="173" fontId="11" fillId="23" borderId="3" xfId="1" applyNumberFormat="1" applyFont="1" applyFill="1" applyBorder="1" applyAlignment="1">
      <alignment horizontal="right"/>
    </xf>
    <xf numFmtId="173" fontId="16" fillId="0" borderId="2" xfId="1" applyNumberFormat="1" applyFont="1" applyFill="1" applyBorder="1"/>
    <xf numFmtId="173" fontId="16" fillId="10" borderId="2" xfId="1" applyNumberFormat="1" applyFont="1" applyFill="1" applyBorder="1"/>
    <xf numFmtId="173" fontId="6" fillId="14" borderId="13" xfId="1" applyNumberFormat="1" applyFont="1" applyFill="1" applyBorder="1"/>
    <xf numFmtId="173" fontId="8" fillId="14" borderId="10" xfId="3" applyNumberFormat="1" applyFont="1" applyFill="1" applyBorder="1" applyAlignment="1">
      <alignment horizontal="center"/>
    </xf>
    <xf numFmtId="173" fontId="6" fillId="0" borderId="2" xfId="1" applyNumberFormat="1" applyFont="1" applyFill="1" applyBorder="1"/>
    <xf numFmtId="173" fontId="6" fillId="10" borderId="2" xfId="1" applyNumberFormat="1" applyFont="1" applyFill="1" applyBorder="1"/>
    <xf numFmtId="173" fontId="11" fillId="11" borderId="13" xfId="1" applyNumberFormat="1" applyFont="1" applyFill="1" applyBorder="1"/>
    <xf numFmtId="173" fontId="6" fillId="11" borderId="10" xfId="1" applyNumberFormat="1" applyFont="1" applyFill="1" applyBorder="1"/>
    <xf numFmtId="173" fontId="11" fillId="11" borderId="10" xfId="1" applyNumberFormat="1" applyFont="1" applyFill="1" applyBorder="1"/>
    <xf numFmtId="173" fontId="6" fillId="10" borderId="10" xfId="1" applyNumberFormat="1" applyFont="1" applyFill="1" applyBorder="1" applyAlignment="1">
      <alignment horizontal="center"/>
    </xf>
    <xf numFmtId="173" fontId="15" fillId="21" borderId="13" xfId="1" applyNumberFormat="1" applyFont="1" applyFill="1" applyBorder="1"/>
    <xf numFmtId="173" fontId="8" fillId="21" borderId="10" xfId="3" applyNumberFormat="1" applyFont="1" applyFill="1" applyBorder="1" applyAlignment="1">
      <alignment horizontal="center"/>
    </xf>
    <xf numFmtId="173" fontId="7" fillId="21" borderId="10" xfId="3" applyNumberFormat="1" applyFont="1" applyFill="1" applyBorder="1" applyAlignment="1">
      <alignment horizontal="center"/>
    </xf>
    <xf numFmtId="173" fontId="6" fillId="10" borderId="10" xfId="1" applyNumberFormat="1" applyFont="1" applyFill="1" applyBorder="1" applyAlignment="1"/>
    <xf numFmtId="173" fontId="6" fillId="20" borderId="13" xfId="1" applyNumberFormat="1" applyFont="1" applyFill="1" applyBorder="1"/>
    <xf numFmtId="173" fontId="8" fillId="20" borderId="10" xfId="3" applyNumberFormat="1" applyFont="1" applyFill="1" applyBorder="1" applyAlignment="1">
      <alignment horizontal="center"/>
    </xf>
    <xf numFmtId="173" fontId="12" fillId="20" borderId="10" xfId="3" applyNumberFormat="1" applyFont="1" applyFill="1" applyBorder="1" applyAlignment="1">
      <alignment horizontal="center"/>
    </xf>
    <xf numFmtId="173" fontId="6" fillId="11" borderId="13" xfId="1" applyNumberFormat="1" applyFont="1" applyFill="1" applyBorder="1"/>
    <xf numFmtId="173" fontId="8" fillId="11" borderId="10" xfId="3" applyNumberFormat="1" applyFont="1" applyFill="1" applyBorder="1" applyAlignment="1">
      <alignment horizontal="center"/>
    </xf>
    <xf numFmtId="173" fontId="12" fillId="11" borderId="10" xfId="3" applyNumberFormat="1" applyFont="1" applyFill="1" applyBorder="1" applyAlignment="1">
      <alignment horizontal="center"/>
    </xf>
    <xf numFmtId="173" fontId="11" fillId="10" borderId="10" xfId="2" applyNumberFormat="1" applyFont="1" applyFill="1" applyBorder="1" applyAlignment="1">
      <alignment horizontal="right"/>
    </xf>
    <xf numFmtId="173" fontId="11" fillId="15" borderId="13" xfId="1" applyNumberFormat="1" applyFont="1" applyFill="1" applyBorder="1"/>
    <xf numFmtId="173" fontId="8" fillId="15" borderId="10" xfId="3" applyNumberFormat="1" applyFont="1" applyFill="1" applyBorder="1" applyAlignment="1">
      <alignment horizontal="center"/>
    </xf>
    <xf numFmtId="173" fontId="11" fillId="16" borderId="13" xfId="4" applyNumberFormat="1" applyFont="1" applyFill="1" applyBorder="1"/>
    <xf numFmtId="173" fontId="8" fillId="16" borderId="10" xfId="3" applyNumberFormat="1" applyFont="1" applyFill="1" applyBorder="1" applyAlignment="1">
      <alignment horizontal="center"/>
    </xf>
    <xf numFmtId="0" fontId="11" fillId="14" borderId="5" xfId="1" applyFont="1" applyFill="1" applyBorder="1" applyAlignment="1">
      <alignment horizontal="left" indent="1"/>
    </xf>
    <xf numFmtId="164" fontId="7" fillId="14" borderId="8" xfId="3" applyNumberFormat="1" applyFont="1" applyFill="1" applyBorder="1"/>
    <xf numFmtId="173" fontId="7" fillId="14" borderId="8" xfId="3" applyNumberFormat="1" applyFont="1" applyFill="1" applyBorder="1"/>
    <xf numFmtId="0" fontId="15" fillId="0" borderId="19" xfId="1" applyFont="1" applyFill="1" applyBorder="1" applyAlignment="1">
      <alignment horizontal="left"/>
    </xf>
    <xf numFmtId="173" fontId="11" fillId="0" borderId="6" xfId="2" applyNumberFormat="1" applyFont="1" applyFill="1" applyBorder="1"/>
    <xf numFmtId="0" fontId="11" fillId="15" borderId="5" xfId="1" applyFont="1" applyFill="1" applyBorder="1" applyAlignment="1">
      <alignment horizontal="left" indent="1"/>
    </xf>
    <xf numFmtId="164" fontId="7" fillId="15" borderId="8" xfId="3" applyNumberFormat="1" applyFont="1" applyFill="1" applyBorder="1" applyAlignment="1">
      <alignment horizontal="center"/>
    </xf>
    <xf numFmtId="173" fontId="7" fillId="15" borderId="8" xfId="3" applyNumberFormat="1" applyFont="1" applyFill="1" applyBorder="1" applyAlignment="1">
      <alignment horizontal="center"/>
    </xf>
    <xf numFmtId="173" fontId="9" fillId="10" borderId="10" xfId="3" applyNumberFormat="1" applyFont="1" applyFill="1" applyBorder="1"/>
    <xf numFmtId="171" fontId="6" fillId="0" borderId="16" xfId="2" applyNumberFormat="1" applyFont="1" applyFill="1" applyBorder="1"/>
    <xf numFmtId="0" fontId="11" fillId="14" borderId="8" xfId="1" applyFont="1" applyFill="1" applyBorder="1" applyAlignment="1">
      <alignment horizontal="left" indent="1"/>
    </xf>
    <xf numFmtId="164" fontId="11" fillId="14" borderId="8" xfId="1" applyNumberFormat="1" applyFont="1" applyFill="1" applyBorder="1"/>
    <xf numFmtId="173" fontId="11" fillId="14" borderId="8" xfId="1" applyNumberFormat="1" applyFont="1" applyFill="1" applyBorder="1"/>
    <xf numFmtId="171" fontId="11" fillId="0" borderId="6" xfId="2" applyNumberFormat="1" applyFont="1" applyFill="1" applyBorder="1" applyAlignment="1">
      <alignment horizontal="right"/>
    </xf>
    <xf numFmtId="173" fontId="11" fillId="0" borderId="6" xfId="2" applyNumberFormat="1" applyFont="1" applyFill="1" applyBorder="1" applyAlignment="1">
      <alignment horizontal="right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8" fontId="9" fillId="25" borderId="10" xfId="2" applyNumberFormat="1" applyFont="1" applyFill="1" applyBorder="1" applyAlignment="1">
      <alignment horizontal="center" vertical="center"/>
    </xf>
    <xf numFmtId="164" fontId="9" fillId="25" borderId="10" xfId="2" applyNumberFormat="1" applyFont="1" applyFill="1" applyBorder="1" applyAlignment="1">
      <alignment vertical="center"/>
    </xf>
    <xf numFmtId="0" fontId="13" fillId="25" borderId="10" xfId="0" applyFont="1" applyFill="1" applyBorder="1" applyAlignment="1">
      <alignment horizontal="left" wrapText="1" indent="2"/>
    </xf>
    <xf numFmtId="164" fontId="9" fillId="25" borderId="10" xfId="1" applyNumberFormat="1" applyFont="1" applyFill="1" applyBorder="1" applyAlignment="1">
      <alignment vertical="center" wrapText="1"/>
    </xf>
    <xf numFmtId="3" fontId="9" fillId="0" borderId="12" xfId="2" applyNumberFormat="1" applyFont="1" applyFill="1" applyBorder="1" applyAlignment="1">
      <alignment horizontal="center" vertical="center"/>
    </xf>
    <xf numFmtId="168" fontId="9" fillId="0" borderId="12" xfId="2" applyNumberFormat="1" applyFont="1" applyFill="1" applyBorder="1" applyAlignment="1">
      <alignment horizontal="center" vertical="center"/>
    </xf>
    <xf numFmtId="164" fontId="9" fillId="0" borderId="12" xfId="1" applyNumberFormat="1" applyFont="1" applyFill="1" applyBorder="1" applyAlignment="1">
      <alignment vertical="center" wrapText="1"/>
    </xf>
    <xf numFmtId="164" fontId="9" fillId="10" borderId="12" xfId="1" applyNumberFormat="1" applyFont="1" applyFill="1" applyBorder="1" applyAlignment="1">
      <alignment vertical="center" wrapText="1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8" fontId="9" fillId="0" borderId="6" xfId="2" applyNumberFormat="1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vertical="center" wrapText="1"/>
    </xf>
    <xf numFmtId="164" fontId="9" fillId="10" borderId="6" xfId="1" applyNumberFormat="1" applyFont="1" applyFill="1" applyBorder="1" applyAlignment="1">
      <alignment vertical="center" wrapText="1"/>
    </xf>
    <xf numFmtId="3" fontId="16" fillId="0" borderId="12" xfId="2" applyNumberFormat="1" applyFont="1" applyFill="1" applyBorder="1" applyAlignment="1">
      <alignment horizontal="center"/>
    </xf>
    <xf numFmtId="168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8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8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8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8" fontId="8" fillId="10" borderId="12" xfId="2" applyNumberFormat="1" applyFont="1" applyFill="1" applyBorder="1" applyAlignment="1">
      <alignment horizontal="center" vertical="center"/>
    </xf>
    <xf numFmtId="164" fontId="8" fillId="10" borderId="12" xfId="1" applyNumberFormat="1" applyFont="1" applyFill="1" applyBorder="1" applyAlignment="1">
      <alignment horizontal="center" vertical="center" wrapText="1"/>
    </xf>
    <xf numFmtId="3" fontId="12" fillId="10" borderId="6" xfId="2" applyNumberFormat="1" applyFont="1" applyFill="1" applyBorder="1" applyAlignment="1">
      <alignment horizontal="center" vertical="center"/>
    </xf>
    <xf numFmtId="168" fontId="12" fillId="10" borderId="6" xfId="2" applyNumberFormat="1" applyFont="1" applyFill="1" applyBorder="1" applyAlignment="1">
      <alignment horizontal="center" vertical="center"/>
    </xf>
    <xf numFmtId="164" fontId="12" fillId="10" borderId="6" xfId="1" applyNumberFormat="1" applyFont="1" applyFill="1" applyBorder="1" applyAlignment="1">
      <alignment horizontal="center" vertical="center" wrapText="1"/>
    </xf>
    <xf numFmtId="164" fontId="9" fillId="25" borderId="10" xfId="1" applyNumberFormat="1" applyFont="1" applyFill="1" applyBorder="1" applyAlignment="1">
      <alignment horizontal="center" vertical="center" wrapText="1"/>
    </xf>
    <xf numFmtId="3" fontId="9" fillId="25" borderId="10" xfId="2" applyNumberFormat="1" applyFont="1" applyFill="1" applyBorder="1" applyAlignment="1">
      <alignment horizontal="center" vertical="center" wrapText="1"/>
    </xf>
    <xf numFmtId="168" fontId="9" fillId="25" borderId="10" xfId="2" applyNumberFormat="1" applyFont="1" applyFill="1" applyBorder="1" applyAlignment="1">
      <alignment horizontal="center" vertical="center" wrapText="1"/>
    </xf>
    <xf numFmtId="164" fontId="9" fillId="0" borderId="12" xfId="2" applyNumberFormat="1" applyFont="1" applyFill="1" applyBorder="1" applyAlignment="1">
      <alignment vertical="center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8" fontId="12" fillId="0" borderId="5" xfId="2" applyNumberFormat="1" applyFont="1" applyFill="1" applyBorder="1" applyAlignment="1">
      <alignment horizontal="center" vertical="center"/>
    </xf>
    <xf numFmtId="164" fontId="9" fillId="0" borderId="5" xfId="2" applyNumberFormat="1" applyFont="1" applyFill="1" applyBorder="1" applyAlignment="1">
      <alignment vertical="center"/>
    </xf>
    <xf numFmtId="164" fontId="9" fillId="0" borderId="6" xfId="2" applyNumberFormat="1" applyFont="1" applyFill="1" applyBorder="1" applyAlignment="1">
      <alignment vertical="center"/>
    </xf>
    <xf numFmtId="3" fontId="8" fillId="25" borderId="10" xfId="2" applyNumberFormat="1" applyFont="1" applyFill="1" applyBorder="1" applyAlignment="1">
      <alignment horizontal="center" vertical="center"/>
    </xf>
    <xf numFmtId="168" fontId="8" fillId="25" borderId="10" xfId="2" applyNumberFormat="1" applyFont="1" applyFill="1" applyBorder="1" applyAlignment="1">
      <alignment horizontal="center" vertical="center"/>
    </xf>
    <xf numFmtId="164" fontId="8" fillId="25" borderId="10" xfId="1" applyNumberFormat="1" applyFont="1" applyFill="1" applyBorder="1" applyAlignment="1">
      <alignment horizontal="center" vertical="center" wrapText="1"/>
    </xf>
    <xf numFmtId="3" fontId="16" fillId="25" borderId="10" xfId="2" applyNumberFormat="1" applyFont="1" applyFill="1" applyBorder="1" applyAlignment="1">
      <alignment horizontal="center"/>
    </xf>
    <xf numFmtId="168" fontId="16" fillId="25" borderId="10" xfId="2" applyNumberFormat="1" applyFont="1" applyFill="1" applyBorder="1" applyAlignment="1">
      <alignment horizontal="center"/>
    </xf>
    <xf numFmtId="172" fontId="6" fillId="10" borderId="2" xfId="1" applyNumberFormat="1" applyFont="1" applyFill="1" applyBorder="1" applyAlignment="1">
      <alignment horizontal="right"/>
    </xf>
    <xf numFmtId="170" fontId="11" fillId="24" borderId="12" xfId="2" applyNumberFormat="1" applyFont="1" applyFill="1" applyBorder="1"/>
    <xf numFmtId="0" fontId="11" fillId="10" borderId="12" xfId="0" applyFont="1" applyFill="1" applyBorder="1" applyAlignment="1">
      <alignment horizontal="left" wrapText="1" indent="2"/>
    </xf>
    <xf numFmtId="164" fontId="9" fillId="0" borderId="12" xfId="1" applyNumberFormat="1" applyFont="1" applyFill="1" applyBorder="1" applyAlignment="1">
      <alignment horizontal="center" vertical="center" wrapText="1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8" fontId="18" fillId="0" borderId="1" xfId="2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vertical="center" wrapText="1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8" fontId="7" fillId="0" borderId="8" xfId="2" applyNumberFormat="1" applyFont="1" applyFill="1" applyBorder="1" applyAlignment="1">
      <alignment horizontal="center" vertical="center"/>
    </xf>
    <xf numFmtId="164" fontId="7" fillId="0" borderId="8" xfId="1" applyNumberFormat="1" applyFont="1" applyFill="1" applyBorder="1" applyAlignment="1">
      <alignment horizontal="center" vertical="center" wrapText="1"/>
    </xf>
    <xf numFmtId="170" fontId="7" fillId="14" borderId="10" xfId="3" applyNumberFormat="1" applyFont="1" applyFill="1" applyBorder="1"/>
    <xf numFmtId="174" fontId="6" fillId="10" borderId="10" xfId="2" applyNumberFormat="1" applyFont="1" applyFill="1" applyBorder="1"/>
    <xf numFmtId="170" fontId="6" fillId="10" borderId="10" xfId="2" applyNumberFormat="1" applyFont="1" applyFill="1" applyBorder="1"/>
    <xf numFmtId="164" fontId="9" fillId="25" borderId="10" xfId="1" applyNumberFormat="1" applyFont="1" applyFill="1" applyBorder="1"/>
    <xf numFmtId="164" fontId="6" fillId="10" borderId="24" xfId="1" applyNumberFormat="1" applyFont="1" applyFill="1" applyBorder="1"/>
    <xf numFmtId="164" fontId="11" fillId="10" borderId="12" xfId="2" applyNumberFormat="1" applyFont="1" applyFill="1" applyBorder="1"/>
    <xf numFmtId="0" fontId="6" fillId="10" borderId="10" xfId="1" applyFont="1" applyFill="1" applyBorder="1" applyAlignment="1">
      <alignment horizontal="left" indent="2"/>
    </xf>
    <xf numFmtId="172" fontId="6" fillId="10" borderId="10" xfId="1" applyNumberFormat="1" applyFont="1" applyFill="1" applyBorder="1" applyAlignment="1">
      <alignment horizontal="left" indent="2"/>
    </xf>
    <xf numFmtId="164" fontId="12" fillId="10" borderId="2" xfId="1" applyNumberFormat="1" applyFont="1" applyFill="1" applyBorder="1"/>
    <xf numFmtId="164" fontId="8" fillId="10" borderId="2" xfId="1" applyNumberFormat="1" applyFont="1" applyFill="1" applyBorder="1"/>
    <xf numFmtId="172" fontId="7" fillId="10" borderId="23" xfId="2" applyNumberFormat="1" applyFont="1" applyFill="1" applyBorder="1"/>
    <xf numFmtId="172" fontId="7" fillId="10" borderId="2" xfId="2" applyNumberFormat="1" applyFont="1" applyFill="1" applyBorder="1"/>
    <xf numFmtId="171" fontId="7" fillId="10" borderId="2" xfId="2" applyNumberFormat="1" applyFont="1" applyFill="1" applyBorder="1"/>
    <xf numFmtId="172" fontId="6" fillId="10" borderId="23" xfId="1" applyNumberFormat="1" applyFont="1" applyFill="1" applyBorder="1"/>
    <xf numFmtId="172" fontId="6" fillId="10" borderId="21" xfId="2" applyNumberFormat="1" applyFont="1" applyFill="1" applyBorder="1"/>
    <xf numFmtId="164" fontId="11" fillId="10" borderId="17" xfId="2" applyNumberFormat="1" applyFont="1" applyFill="1" applyBorder="1"/>
    <xf numFmtId="164" fontId="6" fillId="10" borderId="6" xfId="2" applyNumberFormat="1" applyFont="1" applyFill="1" applyBorder="1"/>
    <xf numFmtId="172" fontId="11" fillId="10" borderId="30" xfId="2" applyNumberFormat="1" applyFont="1" applyFill="1" applyBorder="1"/>
    <xf numFmtId="172" fontId="6" fillId="10" borderId="25" xfId="2" applyNumberFormat="1" applyFont="1" applyFill="1" applyBorder="1"/>
    <xf numFmtId="164" fontId="6" fillId="10" borderId="4" xfId="2" applyNumberFormat="1" applyFont="1" applyFill="1" applyBorder="1"/>
    <xf numFmtId="170" fontId="6" fillId="10" borderId="6" xfId="2" applyNumberFormat="1" applyFont="1" applyFill="1" applyBorder="1"/>
    <xf numFmtId="170" fontId="11" fillId="10" borderId="6" xfId="2" applyNumberFormat="1" applyFont="1" applyFill="1" applyBorder="1"/>
    <xf numFmtId="164" fontId="11" fillId="10" borderId="14" xfId="1" applyNumberFormat="1" applyFont="1" applyFill="1" applyBorder="1" applyAlignment="1">
      <alignment horizontal="right"/>
    </xf>
    <xf numFmtId="164" fontId="11" fillId="10" borderId="10" xfId="1" applyNumberFormat="1" applyFont="1" applyFill="1" applyBorder="1" applyAlignment="1">
      <alignment horizontal="right"/>
    </xf>
    <xf numFmtId="170" fontId="6" fillId="10" borderId="18" xfId="2" applyNumberFormat="1" applyFont="1" applyFill="1" applyBorder="1"/>
    <xf numFmtId="170" fontId="11" fillId="10" borderId="18" xfId="2" applyNumberFormat="1" applyFont="1" applyFill="1" applyBorder="1"/>
    <xf numFmtId="164" fontId="9" fillId="10" borderId="2" xfId="1" applyNumberFormat="1" applyFont="1" applyFill="1" applyBorder="1"/>
    <xf numFmtId="164" fontId="6" fillId="10" borderId="2" xfId="2" applyNumberFormat="1" applyFont="1" applyFill="1" applyBorder="1"/>
    <xf numFmtId="164" fontId="11" fillId="10" borderId="30" xfId="2" applyNumberFormat="1" applyFont="1" applyFill="1" applyBorder="1"/>
    <xf numFmtId="172" fontId="11" fillId="10" borderId="20" xfId="2" applyNumberFormat="1" applyFont="1" applyFill="1" applyBorder="1"/>
    <xf numFmtId="172" fontId="11" fillId="10" borderId="6" xfId="2" applyNumberFormat="1" applyFont="1" applyFill="1" applyBorder="1"/>
    <xf numFmtId="170" fontId="6" fillId="10" borderId="12" xfId="1" applyNumberFormat="1" applyFont="1" applyFill="1" applyBorder="1"/>
    <xf numFmtId="170" fontId="6" fillId="10" borderId="6" xfId="1" applyNumberFormat="1" applyFont="1" applyFill="1" applyBorder="1"/>
    <xf numFmtId="172" fontId="11" fillId="10" borderId="20" xfId="1" applyNumberFormat="1" applyFont="1" applyFill="1" applyBorder="1" applyAlignment="1">
      <alignment horizontal="right"/>
    </xf>
    <xf numFmtId="172" fontId="9" fillId="10" borderId="12" xfId="1" applyNumberFormat="1" applyFont="1" applyFill="1" applyBorder="1"/>
    <xf numFmtId="164" fontId="11" fillId="10" borderId="19" xfId="2" applyNumberFormat="1" applyFont="1" applyFill="1" applyBorder="1"/>
    <xf numFmtId="164" fontId="9" fillId="10" borderId="18" xfId="1" applyNumberFormat="1" applyFont="1" applyFill="1" applyBorder="1"/>
    <xf numFmtId="164" fontId="6" fillId="10" borderId="14" xfId="2" applyNumberFormat="1" applyFont="1" applyFill="1" applyBorder="1"/>
    <xf numFmtId="164" fontId="6" fillId="10" borderId="18" xfId="2" applyNumberFormat="1" applyFont="1" applyFill="1" applyBorder="1"/>
    <xf numFmtId="171" fontId="7" fillId="10" borderId="14" xfId="2" applyNumberFormat="1" applyFont="1" applyFill="1" applyBorder="1"/>
    <xf numFmtId="164" fontId="6" fillId="10" borderId="14" xfId="1" applyNumberFormat="1" applyFont="1" applyFill="1" applyBorder="1" applyAlignment="1">
      <alignment horizontal="center"/>
    </xf>
    <xf numFmtId="170" fontId="6" fillId="10" borderId="2" xfId="2" applyNumberFormat="1" applyFont="1" applyFill="1" applyBorder="1"/>
    <xf numFmtId="164" fontId="9" fillId="10" borderId="21" xfId="1" applyNumberFormat="1" applyFont="1" applyFill="1" applyBorder="1"/>
    <xf numFmtId="164" fontId="8" fillId="10" borderId="12" xfId="1" applyNumberFormat="1" applyFont="1" applyFill="1" applyBorder="1"/>
    <xf numFmtId="173" fontId="9" fillId="10" borderId="10" xfId="1" applyNumberFormat="1" applyFont="1" applyFill="1" applyBorder="1"/>
    <xf numFmtId="173" fontId="9" fillId="10" borderId="12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71" fontId="12" fillId="23" borderId="8" xfId="2" applyNumberFormat="1" applyFont="1" applyFill="1" applyBorder="1"/>
    <xf numFmtId="164" fontId="9" fillId="10" borderId="8" xfId="1" applyNumberFormat="1" applyFont="1" applyFill="1" applyBorder="1"/>
    <xf numFmtId="164" fontId="9" fillId="0" borderId="8" xfId="1" applyNumberFormat="1" applyFont="1" applyFill="1" applyBorder="1"/>
    <xf numFmtId="170" fontId="6" fillId="10" borderId="10" xfId="1" applyNumberFormat="1" applyFont="1" applyFill="1" applyBorder="1" applyAlignment="1">
      <alignment horizontal="right"/>
    </xf>
    <xf numFmtId="173" fontId="11" fillId="10" borderId="2" xfId="2" applyNumberFormat="1" applyFont="1" applyFill="1" applyBorder="1" applyAlignment="1">
      <alignment horizontal="right"/>
    </xf>
    <xf numFmtId="173" fontId="11" fillId="10" borderId="12" xfId="1" applyNumberFormat="1" applyFont="1" applyFill="1" applyBorder="1" applyAlignment="1">
      <alignment horizontal="right"/>
    </xf>
    <xf numFmtId="164" fontId="6" fillId="10" borderId="21" xfId="1" applyNumberFormat="1" applyFont="1" applyFill="1" applyBorder="1"/>
    <xf numFmtId="172" fontId="6" fillId="10" borderId="21" xfId="1" applyNumberFormat="1" applyFont="1" applyFill="1" applyBorder="1" applyAlignment="1">
      <alignment horizontal="center"/>
    </xf>
    <xf numFmtId="164" fontId="9" fillId="10" borderId="28" xfId="1" applyNumberFormat="1" applyFont="1" applyFill="1" applyBorder="1"/>
    <xf numFmtId="172" fontId="11" fillId="10" borderId="30" xfId="1" applyNumberFormat="1" applyFont="1" applyFill="1" applyBorder="1" applyAlignment="1">
      <alignment horizontal="right"/>
    </xf>
    <xf numFmtId="171" fontId="16" fillId="10" borderId="2" xfId="1" applyNumberFormat="1" applyFont="1" applyFill="1" applyBorder="1" applyAlignment="1">
      <alignment horizontal="center"/>
    </xf>
    <xf numFmtId="172" fontId="16" fillId="10" borderId="10" xfId="1" applyNumberFormat="1" applyFont="1" applyFill="1" applyBorder="1"/>
    <xf numFmtId="0" fontId="11" fillId="10" borderId="14" xfId="1" applyFont="1" applyFill="1" applyBorder="1"/>
    <xf numFmtId="164" fontId="6" fillId="10" borderId="10" xfId="1" applyNumberFormat="1" applyFont="1" applyFill="1" applyBorder="1" applyAlignment="1">
      <alignment horizontal="center" wrapText="1"/>
    </xf>
    <xf numFmtId="164" fontId="11" fillId="10" borderId="1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170" fontId="6" fillId="10" borderId="23" xfId="2" applyNumberFormat="1" applyFont="1" applyFill="1" applyBorder="1"/>
    <xf numFmtId="0" fontId="6" fillId="0" borderId="10" xfId="1" applyFont="1" applyFill="1" applyBorder="1" applyAlignment="1">
      <alignment horizontal="left" wrapText="1" indent="3"/>
    </xf>
    <xf numFmtId="0" fontId="9" fillId="10" borderId="2" xfId="0" applyFont="1" applyFill="1" applyBorder="1" applyAlignment="1">
      <alignment horizontal="left" wrapText="1" indent="2"/>
    </xf>
    <xf numFmtId="171" fontId="9" fillId="0" borderId="10" xfId="2" applyNumberFormat="1" applyFont="1" applyFill="1" applyBorder="1" applyAlignment="1">
      <alignment horizontal="center"/>
    </xf>
    <xf numFmtId="164" fontId="9" fillId="10" borderId="0" xfId="1" applyNumberFormat="1" applyFont="1" applyFill="1" applyBorder="1"/>
    <xf numFmtId="164" fontId="6" fillId="10" borderId="23" xfId="2" applyNumberFormat="1" applyFont="1" applyFill="1" applyBorder="1"/>
    <xf numFmtId="164" fontId="9" fillId="10" borderId="22" xfId="1" applyNumberFormat="1" applyFont="1" applyFill="1" applyBorder="1"/>
    <xf numFmtId="172" fontId="11" fillId="10" borderId="24" xfId="1" applyNumberFormat="1" applyFont="1" applyFill="1" applyBorder="1" applyAlignment="1">
      <alignment horizontal="right"/>
    </xf>
    <xf numFmtId="172" fontId="11" fillId="10" borderId="21" xfId="1" applyNumberFormat="1" applyFont="1" applyFill="1" applyBorder="1" applyAlignment="1">
      <alignment horizontal="right"/>
    </xf>
    <xf numFmtId="164" fontId="11" fillId="10" borderId="20" xfId="2" applyNumberFormat="1" applyFont="1" applyFill="1" applyBorder="1"/>
    <xf numFmtId="0" fontId="6" fillId="10" borderId="2" xfId="0" applyFont="1" applyFill="1" applyBorder="1" applyAlignment="1">
      <alignment horizontal="left" wrapText="1" indent="2"/>
    </xf>
    <xf numFmtId="0" fontId="6" fillId="14" borderId="2" xfId="0" applyFont="1" applyFill="1" applyBorder="1" applyAlignment="1">
      <alignment horizontal="left" wrapText="1" indent="2"/>
    </xf>
    <xf numFmtId="164" fontId="11" fillId="14" borderId="2" xfId="2" applyNumberFormat="1" applyFont="1" applyFill="1" applyBorder="1"/>
    <xf numFmtId="0" fontId="6" fillId="7" borderId="2" xfId="0" applyFont="1" applyFill="1" applyBorder="1" applyAlignment="1">
      <alignment horizontal="left" wrapText="1" indent="2"/>
    </xf>
    <xf numFmtId="0" fontId="6" fillId="21" borderId="2" xfId="0" applyFont="1" applyFill="1" applyBorder="1" applyAlignment="1">
      <alignment horizontal="left" wrapText="1" indent="2"/>
    </xf>
    <xf numFmtId="164" fontId="11" fillId="0" borderId="2" xfId="2" applyNumberFormat="1" applyFont="1" applyFill="1" applyBorder="1"/>
    <xf numFmtId="0" fontId="6" fillId="0" borderId="2" xfId="1" applyFont="1" applyFill="1" applyBorder="1" applyAlignment="1">
      <alignment horizontal="right" wrapText="1" indent="3"/>
    </xf>
    <xf numFmtId="164" fontId="7" fillId="14" borderId="12" xfId="3" applyNumberFormat="1" applyFont="1" applyFill="1" applyBorder="1"/>
    <xf numFmtId="0" fontId="6" fillId="15" borderId="2" xfId="0" applyFont="1" applyFill="1" applyBorder="1" applyAlignment="1">
      <alignment horizontal="left" wrapText="1" indent="2"/>
    </xf>
    <xf numFmtId="164" fontId="9" fillId="15" borderId="12" xfId="3" applyNumberFormat="1" applyFont="1" applyFill="1" applyBorder="1" applyAlignment="1">
      <alignment horizontal="center"/>
    </xf>
    <xf numFmtId="0" fontId="6" fillId="23" borderId="0" xfId="0" applyFont="1" applyFill="1" applyBorder="1" applyAlignment="1">
      <alignment horizontal="left" wrapText="1" indent="2"/>
    </xf>
    <xf numFmtId="164" fontId="11" fillId="23" borderId="2" xfId="1" applyNumberFormat="1" applyFont="1" applyFill="1" applyBorder="1" applyAlignment="1">
      <alignment horizontal="right"/>
    </xf>
    <xf numFmtId="164" fontId="8" fillId="14" borderId="12" xfId="3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right" wrapText="1" indent="3"/>
    </xf>
    <xf numFmtId="0" fontId="6" fillId="10" borderId="8" xfId="0" applyFont="1" applyFill="1" applyBorder="1" applyAlignment="1">
      <alignment horizontal="left" wrapText="1" indent="2"/>
    </xf>
    <xf numFmtId="172" fontId="9" fillId="11" borderId="14" xfId="1" applyNumberFormat="1" applyFont="1" applyFill="1" applyBorder="1"/>
    <xf numFmtId="0" fontId="11" fillId="7" borderId="10" xfId="1" applyFont="1" applyFill="1" applyBorder="1" applyAlignment="1">
      <alignment horizontal="left" wrapText="1"/>
    </xf>
    <xf numFmtId="164" fontId="11" fillId="7" borderId="10" xfId="1" applyNumberFormat="1" applyFont="1" applyFill="1" applyBorder="1"/>
    <xf numFmtId="164" fontId="6" fillId="7" borderId="10" xfId="1" applyNumberFormat="1" applyFont="1" applyFill="1" applyBorder="1"/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164" fontId="7" fillId="0" borderId="13" xfId="1" applyNumberFormat="1" applyFont="1" applyFill="1" applyBorder="1" applyAlignment="1">
      <alignment vertical="center" wrapText="1"/>
    </xf>
    <xf numFmtId="164" fontId="8" fillId="0" borderId="10" xfId="1" applyNumberFormat="1" applyFont="1" applyFill="1" applyBorder="1" applyAlignment="1">
      <alignment horizontal="center" vertical="center" wrapText="1"/>
    </xf>
    <xf numFmtId="164" fontId="7" fillId="0" borderId="10" xfId="1" applyNumberFormat="1" applyFont="1" applyFill="1" applyBorder="1" applyAlignment="1">
      <alignment horizontal="center" vertical="center" wrapText="1"/>
    </xf>
    <xf numFmtId="164" fontId="8" fillId="0" borderId="12" xfId="1" applyNumberFormat="1" applyFont="1" applyFill="1" applyBorder="1" applyAlignment="1">
      <alignment horizontal="center" vertical="center" wrapText="1"/>
    </xf>
    <xf numFmtId="164" fontId="12" fillId="0" borderId="6" xfId="1" applyNumberFormat="1" applyFont="1" applyFill="1" applyBorder="1" applyAlignment="1">
      <alignment horizontal="center" vertical="center" wrapText="1"/>
    </xf>
    <xf numFmtId="170" fontId="9" fillId="0" borderId="10" xfId="1" applyNumberFormat="1" applyFont="1" applyFill="1" applyBorder="1" applyAlignment="1">
      <alignment horizontal="center" vertical="center" wrapText="1"/>
    </xf>
    <xf numFmtId="172" fontId="9" fillId="0" borderId="10" xfId="1" applyNumberFormat="1" applyFont="1" applyFill="1" applyBorder="1"/>
    <xf numFmtId="172" fontId="9" fillId="0" borderId="8" xfId="1" applyNumberFormat="1" applyFont="1" applyFill="1" applyBorder="1"/>
    <xf numFmtId="164" fontId="8" fillId="0" borderId="10" xfId="1" applyNumberFormat="1" applyFont="1" applyFill="1" applyBorder="1" applyAlignment="1">
      <alignment vertical="center" wrapText="1"/>
    </xf>
    <xf numFmtId="172" fontId="9" fillId="25" borderId="10" xfId="1" applyNumberFormat="1" applyFont="1" applyFill="1" applyBorder="1"/>
    <xf numFmtId="3" fontId="18" fillId="26" borderId="6" xfId="1" applyNumberFormat="1" applyFont="1" applyFill="1" applyBorder="1" applyAlignment="1">
      <alignment horizontal="center"/>
    </xf>
    <xf numFmtId="0" fontId="7" fillId="26" borderId="6" xfId="1" applyFont="1" applyFill="1" applyBorder="1" applyAlignment="1">
      <alignment horizontal="left"/>
    </xf>
    <xf numFmtId="0" fontId="6" fillId="0" borderId="12" xfId="1" applyFont="1" applyFill="1" applyBorder="1" applyAlignment="1">
      <alignment horizontal="left" wrapText="1" indent="3"/>
    </xf>
    <xf numFmtId="173" fontId="6" fillId="10" borderId="12" xfId="1" applyNumberFormat="1" applyFont="1" applyFill="1" applyBorder="1" applyAlignment="1">
      <alignment horizontal="center"/>
    </xf>
    <xf numFmtId="164" fontId="6" fillId="0" borderId="12" xfId="2" applyNumberFormat="1" applyFont="1" applyFill="1" applyBorder="1"/>
    <xf numFmtId="0" fontId="6" fillId="15" borderId="12" xfId="0" applyFont="1" applyFill="1" applyBorder="1" applyAlignment="1">
      <alignment horizontal="left" wrapText="1" indent="2"/>
    </xf>
    <xf numFmtId="164" fontId="8" fillId="15" borderId="12" xfId="3" applyNumberFormat="1" applyFont="1" applyFill="1" applyBorder="1" applyAlignment="1">
      <alignment horizontal="center"/>
    </xf>
    <xf numFmtId="0" fontId="11" fillId="15" borderId="6" xfId="1" applyFont="1" applyFill="1" applyBorder="1" applyAlignment="1">
      <alignment horizontal="left" indent="1"/>
    </xf>
    <xf numFmtId="164" fontId="7" fillId="15" borderId="6" xfId="3" applyNumberFormat="1" applyFont="1" applyFill="1" applyBorder="1" applyAlignment="1">
      <alignment horizontal="center"/>
    </xf>
    <xf numFmtId="173" fontId="7" fillId="15" borderId="6" xfId="3" applyNumberFormat="1" applyFont="1" applyFill="1" applyBorder="1" applyAlignment="1">
      <alignment horizontal="center"/>
    </xf>
    <xf numFmtId="0" fontId="6" fillId="16" borderId="12" xfId="0" applyFont="1" applyFill="1" applyBorder="1" applyAlignment="1">
      <alignment horizontal="left" wrapText="1" indent="2"/>
    </xf>
    <xf numFmtId="164" fontId="8" fillId="16" borderId="12" xfId="3" applyNumberFormat="1" applyFont="1" applyFill="1" applyBorder="1" applyAlignment="1">
      <alignment horizontal="center"/>
    </xf>
    <xf numFmtId="173" fontId="8" fillId="16" borderId="12" xfId="3" applyNumberFormat="1" applyFont="1" applyFill="1" applyBorder="1" applyAlignment="1">
      <alignment horizontal="center"/>
    </xf>
    <xf numFmtId="0" fontId="11" fillId="16" borderId="6" xfId="1" applyFont="1" applyFill="1" applyBorder="1" applyAlignment="1">
      <alignment horizontal="left" indent="1"/>
    </xf>
    <xf numFmtId="164" fontId="7" fillId="16" borderId="6" xfId="3" applyNumberFormat="1" applyFont="1" applyFill="1" applyBorder="1" applyAlignment="1">
      <alignment horizontal="center"/>
    </xf>
    <xf numFmtId="173" fontId="7" fillId="16" borderId="6" xfId="3" applyNumberFormat="1" applyFont="1" applyFill="1" applyBorder="1" applyAlignment="1">
      <alignment horizontal="center"/>
    </xf>
    <xf numFmtId="173" fontId="6" fillId="10" borderId="2" xfId="1" applyNumberFormat="1" applyFont="1" applyFill="1" applyBorder="1" applyAlignment="1">
      <alignment horizontal="right"/>
    </xf>
    <xf numFmtId="173" fontId="9" fillId="10" borderId="2" xfId="1" applyNumberFormat="1" applyFont="1" applyFill="1" applyBorder="1"/>
    <xf numFmtId="0" fontId="6" fillId="0" borderId="2" xfId="1" applyFont="1" applyFill="1" applyBorder="1" applyAlignment="1">
      <alignment horizontal="left" wrapText="1" indent="3"/>
    </xf>
    <xf numFmtId="170" fontId="11" fillId="0" borderId="6" xfId="1" applyNumberFormat="1" applyFont="1" applyFill="1" applyBorder="1" applyAlignment="1">
      <alignment horizontal="right"/>
    </xf>
    <xf numFmtId="172" fontId="18" fillId="26" borderId="6" xfId="1" applyNumberFormat="1" applyFont="1" applyFill="1" applyBorder="1" applyAlignment="1">
      <alignment horizontal="center"/>
    </xf>
    <xf numFmtId="170" fontId="6" fillId="10" borderId="8" xfId="2" applyNumberFormat="1" applyFont="1" applyFill="1" applyBorder="1"/>
    <xf numFmtId="170" fontId="9" fillId="10" borderId="21" xfId="1" applyNumberFormat="1" applyFont="1" applyFill="1" applyBorder="1"/>
    <xf numFmtId="165" fontId="16" fillId="0" borderId="0" xfId="2" applyFont="1" applyFill="1" applyBorder="1"/>
    <xf numFmtId="165" fontId="6" fillId="0" borderId="0" xfId="2" applyFont="1" applyFill="1" applyBorder="1"/>
    <xf numFmtId="170" fontId="9" fillId="10" borderId="10" xfId="1" applyNumberFormat="1" applyFont="1" applyFill="1" applyBorder="1"/>
    <xf numFmtId="165" fontId="9" fillId="0" borderId="0" xfId="2" applyFont="1" applyFill="1"/>
    <xf numFmtId="165" fontId="7" fillId="0" borderId="0" xfId="2" applyFont="1" applyFill="1"/>
    <xf numFmtId="173" fontId="6" fillId="0" borderId="10" xfId="1" applyNumberFormat="1" applyFont="1" applyFill="1" applyBorder="1" applyAlignment="1">
      <alignment horizontal="right"/>
    </xf>
    <xf numFmtId="0" fontId="11" fillId="10" borderId="13" xfId="1" applyFont="1" applyFill="1" applyBorder="1" applyAlignment="1">
      <alignment horizontal="left" indent="1"/>
    </xf>
    <xf numFmtId="0" fontId="11" fillId="10" borderId="14" xfId="1" applyFont="1" applyFill="1" applyBorder="1" applyAlignment="1">
      <alignment wrapText="1"/>
    </xf>
    <xf numFmtId="0" fontId="6" fillId="10" borderId="12" xfId="1" applyFont="1" applyFill="1" applyBorder="1" applyAlignment="1">
      <alignment horizontal="left" wrapText="1" indent="3"/>
    </xf>
    <xf numFmtId="0" fontId="11" fillId="25" borderId="13" xfId="1" applyFont="1" applyFill="1" applyBorder="1" applyAlignment="1">
      <alignment horizontal="left" indent="1"/>
    </xf>
    <xf numFmtId="171" fontId="11" fillId="25" borderId="13" xfId="2" applyNumberFormat="1" applyFont="1" applyFill="1" applyBorder="1"/>
    <xf numFmtId="171" fontId="6" fillId="25" borderId="13" xfId="2" applyNumberFormat="1" applyFont="1" applyFill="1" applyBorder="1"/>
    <xf numFmtId="171" fontId="8" fillId="25" borderId="10" xfId="2" applyNumberFormat="1" applyFont="1" applyFill="1" applyBorder="1"/>
    <xf numFmtId="0" fontId="7" fillId="25" borderId="12" xfId="1" applyFont="1" applyFill="1" applyBorder="1"/>
    <xf numFmtId="164" fontId="7" fillId="25" borderId="12" xfId="1" applyNumberFormat="1" applyFont="1" applyFill="1" applyBorder="1"/>
    <xf numFmtId="164" fontId="9" fillId="25" borderId="12" xfId="1" applyNumberFormat="1" applyFont="1" applyFill="1" applyBorder="1"/>
    <xf numFmtId="172" fontId="7" fillId="25" borderId="22" xfId="1" applyNumberFormat="1" applyFont="1" applyFill="1" applyBorder="1"/>
    <xf numFmtId="172" fontId="7" fillId="25" borderId="12" xfId="1" applyNumberFormat="1" applyFont="1" applyFill="1" applyBorder="1"/>
    <xf numFmtId="164" fontId="8" fillId="25" borderId="10" xfId="1" applyNumberFormat="1" applyFont="1" applyFill="1" applyBorder="1"/>
    <xf numFmtId="170" fontId="6" fillId="25" borderId="10" xfId="2" applyNumberFormat="1" applyFont="1" applyFill="1" applyBorder="1"/>
    <xf numFmtId="2" fontId="9" fillId="25" borderId="10" xfId="0" applyNumberFormat="1" applyFont="1" applyFill="1" applyBorder="1" applyAlignment="1">
      <alignment horizontal="left" wrapText="1" indent="2"/>
    </xf>
    <xf numFmtId="2" fontId="29" fillId="25" borderId="10" xfId="0" applyNumberFormat="1" applyFont="1" applyFill="1" applyBorder="1" applyAlignment="1">
      <alignment horizontal="left" wrapText="1" indent="2"/>
    </xf>
    <xf numFmtId="2" fontId="9" fillId="25" borderId="2" xfId="0" applyNumberFormat="1" applyFont="1" applyFill="1" applyBorder="1" applyAlignment="1">
      <alignment horizontal="left" wrapText="1" indent="2"/>
    </xf>
    <xf numFmtId="164" fontId="8" fillId="25" borderId="12" xfId="1" applyNumberFormat="1" applyFont="1" applyFill="1" applyBorder="1"/>
    <xf numFmtId="170" fontId="6" fillId="25" borderId="12" xfId="2" applyNumberFormat="1" applyFont="1" applyFill="1" applyBorder="1"/>
    <xf numFmtId="164" fontId="8" fillId="25" borderId="2" xfId="1" applyNumberFormat="1" applyFont="1" applyFill="1" applyBorder="1"/>
    <xf numFmtId="0" fontId="11" fillId="25" borderId="6" xfId="1" applyFont="1" applyFill="1" applyBorder="1" applyAlignment="1">
      <alignment horizontal="left" indent="1"/>
    </xf>
    <xf numFmtId="164" fontId="12" fillId="25" borderId="6" xfId="1" applyNumberFormat="1" applyFont="1" applyFill="1" applyBorder="1"/>
    <xf numFmtId="164" fontId="8" fillId="25" borderId="6" xfId="1" applyNumberFormat="1" applyFont="1" applyFill="1" applyBorder="1"/>
    <xf numFmtId="172" fontId="12" fillId="25" borderId="6" xfId="1" applyNumberFormat="1" applyFont="1" applyFill="1" applyBorder="1"/>
    <xf numFmtId="164" fontId="9" fillId="11" borderId="13" xfId="1" applyNumberFormat="1" applyFont="1" applyFill="1" applyBorder="1"/>
    <xf numFmtId="43" fontId="7" fillId="0" borderId="0" xfId="0" applyNumberFormat="1" applyFont="1" applyFill="1"/>
    <xf numFmtId="175" fontId="16" fillId="10" borderId="0" xfId="1" applyNumberFormat="1" applyFont="1" applyFill="1" applyBorder="1"/>
    <xf numFmtId="174" fontId="16" fillId="10" borderId="0" xfId="1" applyNumberFormat="1" applyFont="1" applyFill="1" applyBorder="1"/>
    <xf numFmtId="0" fontId="11" fillId="25" borderId="8" xfId="1" applyFont="1" applyFill="1" applyBorder="1" applyAlignment="1">
      <alignment horizontal="left" indent="1"/>
    </xf>
    <xf numFmtId="171" fontId="7" fillId="25" borderId="8" xfId="2" applyNumberFormat="1" applyFont="1" applyFill="1" applyBorder="1"/>
    <xf numFmtId="0" fontId="14" fillId="0" borderId="31" xfId="1" applyFont="1" applyFill="1" applyBorder="1" applyAlignment="1">
      <alignment horizontal="left"/>
    </xf>
    <xf numFmtId="172" fontId="9" fillId="10" borderId="10" xfId="1" applyNumberFormat="1" applyFont="1" applyFill="1" applyBorder="1"/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/>
  <dimension ref="A1:L875"/>
  <sheetViews>
    <sheetView showZeros="0" tabSelected="1" zoomScale="85" zoomScaleNormal="85" zoomScaleSheetLayoutView="90" workbookViewId="0">
      <pane xSplit="2" ySplit="7" topLeftCell="C8" activePane="bottomRight" state="frozen"/>
      <selection activeCell="A7" sqref="A7"/>
      <selection pane="topRight" activeCell="B7" sqref="B7"/>
      <selection pane="bottomLeft" activeCell="A14" sqref="A14"/>
      <selection pane="bottomRight" activeCell="B13" sqref="B13"/>
    </sheetView>
  </sheetViews>
  <sheetFormatPr defaultColWidth="9.140625" defaultRowHeight="15" x14ac:dyDescent="0.25"/>
  <cols>
    <col min="1" max="1" width="5.140625" style="35" hidden="1" customWidth="1"/>
    <col min="2" max="2" width="44.5703125" style="34" customWidth="1"/>
    <col min="3" max="3" width="15.5703125" style="34" customWidth="1"/>
    <col min="4" max="4" width="14.85546875" style="34" customWidth="1"/>
    <col min="5" max="5" width="14.28515625" style="149" customWidth="1"/>
    <col min="6" max="6" width="12.7109375" style="34" customWidth="1"/>
    <col min="7" max="7" width="13.42578125" style="355" customWidth="1"/>
    <col min="8" max="8" width="14" style="355" customWidth="1"/>
    <col min="9" max="9" width="14.42578125" style="372" customWidth="1"/>
    <col min="10" max="10" width="11" style="34" customWidth="1"/>
    <col min="11" max="11" width="13.7109375" style="106" customWidth="1"/>
    <col min="12" max="12" width="10" style="723" bestFit="1" customWidth="1"/>
    <col min="13" max="16384" width="9.140625" style="35"/>
  </cols>
  <sheetData>
    <row r="1" spans="1:12" ht="30.75" customHeight="1" x14ac:dyDescent="0.25">
      <c r="B1" s="764" t="s">
        <v>134</v>
      </c>
      <c r="C1" s="765"/>
      <c r="D1" s="765"/>
      <c r="E1" s="765"/>
      <c r="F1" s="765"/>
      <c r="G1" s="765"/>
      <c r="H1" s="765"/>
      <c r="I1" s="765"/>
      <c r="J1" s="765"/>
    </row>
    <row r="2" spans="1:12" ht="15.75" x14ac:dyDescent="0.25">
      <c r="B2" s="333"/>
      <c r="C2" s="333"/>
      <c r="D2" s="333"/>
      <c r="E2" s="333"/>
      <c r="F2" s="428"/>
      <c r="G2" s="333"/>
      <c r="H2" s="333"/>
      <c r="I2" s="333"/>
      <c r="J2" s="333"/>
    </row>
    <row r="3" spans="1:12" ht="18.75" hidden="1" x14ac:dyDescent="0.3">
      <c r="B3" s="151">
        <v>8</v>
      </c>
      <c r="C3" s="133"/>
      <c r="D3" s="133"/>
      <c r="E3" s="134"/>
      <c r="F3" s="429"/>
      <c r="G3" s="381"/>
      <c r="H3" s="381"/>
      <c r="I3" s="340"/>
      <c r="J3" s="133"/>
    </row>
    <row r="4" spans="1:12" ht="18.75" customHeight="1" thickBot="1" x14ac:dyDescent="0.35">
      <c r="B4" s="151"/>
      <c r="C4" s="150"/>
      <c r="D4" s="150"/>
      <c r="E4" s="134"/>
      <c r="F4" s="429"/>
      <c r="G4" s="381"/>
      <c r="H4" s="381"/>
      <c r="I4" s="340"/>
      <c r="J4" s="150"/>
    </row>
    <row r="5" spans="1:12" ht="31.5" customHeight="1" thickBot="1" x14ac:dyDescent="0.3">
      <c r="B5" s="38" t="s">
        <v>0</v>
      </c>
      <c r="C5" s="761" t="s">
        <v>102</v>
      </c>
      <c r="D5" s="762"/>
      <c r="E5" s="762"/>
      <c r="F5" s="763"/>
      <c r="G5" s="761" t="s">
        <v>101</v>
      </c>
      <c r="H5" s="762"/>
      <c r="I5" s="762"/>
      <c r="J5" s="763"/>
    </row>
    <row r="6" spans="1:12" ht="60.75" thickBot="1" x14ac:dyDescent="0.3">
      <c r="B6" s="39"/>
      <c r="C6" s="297" t="s">
        <v>128</v>
      </c>
      <c r="D6" s="297" t="s">
        <v>132</v>
      </c>
      <c r="E6" s="298" t="s">
        <v>103</v>
      </c>
      <c r="F6" s="95" t="s">
        <v>35</v>
      </c>
      <c r="G6" s="382" t="s">
        <v>129</v>
      </c>
      <c r="H6" s="382" t="s">
        <v>133</v>
      </c>
      <c r="I6" s="341" t="s">
        <v>104</v>
      </c>
      <c r="J6" s="95" t="s">
        <v>35</v>
      </c>
    </row>
    <row r="7" spans="1:12" s="18" customFormat="1" ht="15.75" thickBot="1" x14ac:dyDescent="0.3">
      <c r="B7" s="55">
        <v>1</v>
      </c>
      <c r="C7" s="55">
        <v>2</v>
      </c>
      <c r="D7" s="55">
        <v>3</v>
      </c>
      <c r="E7" s="55">
        <v>4</v>
      </c>
      <c r="F7" s="55">
        <v>5</v>
      </c>
      <c r="G7" s="342">
        <v>6</v>
      </c>
      <c r="H7" s="342">
        <v>7</v>
      </c>
      <c r="I7" s="342">
        <v>8</v>
      </c>
      <c r="J7" s="55">
        <v>9</v>
      </c>
      <c r="K7" s="105"/>
      <c r="L7" s="724"/>
    </row>
    <row r="8" spans="1:12" ht="13.9" customHeight="1" x14ac:dyDescent="0.25">
      <c r="B8" s="20"/>
      <c r="C8" s="67"/>
      <c r="D8" s="67"/>
      <c r="E8" s="135"/>
      <c r="F8" s="67"/>
      <c r="G8" s="383"/>
      <c r="H8" s="383"/>
      <c r="I8" s="343"/>
      <c r="J8" s="94"/>
      <c r="K8" s="105"/>
    </row>
    <row r="9" spans="1:12" ht="28.5" customHeight="1" x14ac:dyDescent="0.25">
      <c r="A9" s="35">
        <v>1</v>
      </c>
      <c r="B9" s="110" t="s">
        <v>59</v>
      </c>
      <c r="C9" s="118"/>
      <c r="D9" s="647"/>
      <c r="E9" s="118"/>
      <c r="F9" s="118"/>
      <c r="G9" s="648"/>
      <c r="H9" s="344"/>
      <c r="I9" s="344"/>
      <c r="J9" s="154"/>
      <c r="K9" s="105"/>
    </row>
    <row r="10" spans="1:12" ht="30" customHeight="1" x14ac:dyDescent="0.25">
      <c r="B10" s="198" t="s">
        <v>120</v>
      </c>
      <c r="C10" s="109">
        <f>SUM(C11:C12)</f>
        <v>1533</v>
      </c>
      <c r="D10" s="109">
        <f>SUM(D11:D12)</f>
        <v>1022</v>
      </c>
      <c r="E10" s="109">
        <f>SUM(E11:E12)</f>
        <v>629</v>
      </c>
      <c r="F10" s="109">
        <f t="shared" ref="F10:F15" si="0">E10/D10*100</f>
        <v>61.545988258317031</v>
      </c>
      <c r="G10" s="596">
        <f>SUM(G11:G12)</f>
        <v>2329.9957899999999</v>
      </c>
      <c r="H10" s="596">
        <f>SUM(H11:H12)</f>
        <v>1553.33</v>
      </c>
      <c r="I10" s="596">
        <f>SUM(I11:I12)</f>
        <v>810.90400000000011</v>
      </c>
      <c r="J10" s="109">
        <f>I10/H10*100</f>
        <v>52.204232197923183</v>
      </c>
      <c r="K10" s="105"/>
    </row>
    <row r="11" spans="1:12" ht="30" customHeight="1" x14ac:dyDescent="0.25">
      <c r="A11" s="35">
        <v>1</v>
      </c>
      <c r="B11" s="70" t="s">
        <v>79</v>
      </c>
      <c r="C11" s="109">
        <v>1179</v>
      </c>
      <c r="D11" s="636">
        <f>ROUND(C11/12*$B$3,0)</f>
        <v>786</v>
      </c>
      <c r="E11" s="109">
        <v>513</v>
      </c>
      <c r="F11" s="109">
        <f t="shared" si="0"/>
        <v>65.267175572519093</v>
      </c>
      <c r="G11" s="596">
        <v>1750.6734000000001</v>
      </c>
      <c r="H11" s="722">
        <f>ROUND(G11/12*$B$3,2)</f>
        <v>1167.1199999999999</v>
      </c>
      <c r="I11" s="596">
        <v>613.21582000000012</v>
      </c>
      <c r="J11" s="109">
        <f t="shared" ref="J11:J17" si="1">I11/H11*100</f>
        <v>52.54094009185004</v>
      </c>
      <c r="K11" s="105"/>
    </row>
    <row r="12" spans="1:12" ht="30" x14ac:dyDescent="0.25">
      <c r="A12" s="35">
        <v>1</v>
      </c>
      <c r="B12" s="70" t="s">
        <v>80</v>
      </c>
      <c r="C12" s="109">
        <v>354</v>
      </c>
      <c r="D12" s="636">
        <f>ROUND(C12/12*$B$3,0)</f>
        <v>236</v>
      </c>
      <c r="E12" s="109">
        <v>116</v>
      </c>
      <c r="F12" s="637">
        <f t="shared" si="0"/>
        <v>49.152542372881356</v>
      </c>
      <c r="G12" s="596">
        <v>579.32239000000004</v>
      </c>
      <c r="H12" s="596">
        <f>ROUND(G12/12*$B$3,2)</f>
        <v>386.21</v>
      </c>
      <c r="I12" s="596">
        <v>197.68817999999999</v>
      </c>
      <c r="J12" s="637">
        <f t="shared" si="1"/>
        <v>51.1867067139639</v>
      </c>
      <c r="K12" s="105"/>
    </row>
    <row r="13" spans="1:12" ht="30" x14ac:dyDescent="0.25">
      <c r="A13" s="35">
        <v>1</v>
      </c>
      <c r="B13" s="315" t="s">
        <v>112</v>
      </c>
      <c r="C13" s="109">
        <f>SUM(C14)</f>
        <v>0</v>
      </c>
      <c r="D13" s="109">
        <f>SUM(D14)</f>
        <v>0</v>
      </c>
      <c r="E13" s="109">
        <f>SUM(E14)</f>
        <v>0</v>
      </c>
      <c r="F13" s="109"/>
      <c r="G13" s="596">
        <f>SUM(G14)</f>
        <v>0</v>
      </c>
      <c r="H13" s="596">
        <f>SUM(H14)</f>
        <v>0</v>
      </c>
      <c r="I13" s="596">
        <f>SUM(I14)</f>
        <v>0</v>
      </c>
      <c r="J13" s="109"/>
      <c r="K13" s="105"/>
    </row>
    <row r="14" spans="1:12" ht="30" x14ac:dyDescent="0.25">
      <c r="A14" s="35">
        <v>1</v>
      </c>
      <c r="B14" s="334" t="s">
        <v>108</v>
      </c>
      <c r="C14" s="637"/>
      <c r="D14" s="637">
        <f>ROUND(C14/12*$B$3,0)</f>
        <v>0</v>
      </c>
      <c r="E14" s="637"/>
      <c r="F14" s="637"/>
      <c r="G14" s="596"/>
      <c r="H14" s="596">
        <f>ROUND(G14/12*$B$3,2)</f>
        <v>0</v>
      </c>
      <c r="I14" s="596"/>
      <c r="J14" s="637"/>
      <c r="K14" s="105"/>
    </row>
    <row r="15" spans="1:12" ht="30" x14ac:dyDescent="0.25">
      <c r="A15" s="35">
        <v>1</v>
      </c>
      <c r="B15" s="658" t="s">
        <v>123</v>
      </c>
      <c r="C15" s="660">
        <v>100</v>
      </c>
      <c r="D15" s="109">
        <f>ROUND(C15/12*$B$3,0)</f>
        <v>67</v>
      </c>
      <c r="E15" s="660">
        <v>18</v>
      </c>
      <c r="F15" s="109">
        <f t="shared" si="0"/>
        <v>26.865671641791046</v>
      </c>
      <c r="G15" s="596">
        <f>81102/1000</f>
        <v>81.102000000000004</v>
      </c>
      <c r="H15" s="596">
        <f>ROUND(G15/12*$B$3,2)</f>
        <v>54.07</v>
      </c>
      <c r="I15" s="596">
        <v>14.517259999999998</v>
      </c>
      <c r="J15" s="109">
        <f t="shared" si="1"/>
        <v>26.849010541890138</v>
      </c>
      <c r="K15" s="105"/>
    </row>
    <row r="16" spans="1:12" ht="15.75" thickBot="1" x14ac:dyDescent="0.3">
      <c r="A16" s="35">
        <v>1</v>
      </c>
      <c r="B16" s="659"/>
      <c r="C16" s="603"/>
      <c r="D16" s="603"/>
      <c r="E16" s="603"/>
      <c r="F16" s="603"/>
      <c r="G16" s="657"/>
      <c r="H16" s="635"/>
      <c r="I16" s="635"/>
      <c r="J16" s="603"/>
      <c r="K16" s="105"/>
    </row>
    <row r="17" spans="1:12" s="33" customFormat="1" ht="15.75" thickBot="1" x14ac:dyDescent="0.3">
      <c r="A17" s="35">
        <v>1</v>
      </c>
      <c r="B17" s="335" t="s">
        <v>3</v>
      </c>
      <c r="C17" s="336"/>
      <c r="D17" s="336"/>
      <c r="E17" s="336"/>
      <c r="F17" s="337"/>
      <c r="G17" s="384">
        <f>G13+G10+G15</f>
        <v>2411.0977899999998</v>
      </c>
      <c r="H17" s="384">
        <f>H13+H10+H15</f>
        <v>1607.3999999999999</v>
      </c>
      <c r="I17" s="384">
        <f>I13+I10+I15</f>
        <v>825.42126000000007</v>
      </c>
      <c r="J17" s="337">
        <f t="shared" si="1"/>
        <v>51.351328854050024</v>
      </c>
      <c r="K17" s="105"/>
      <c r="L17" s="723"/>
    </row>
    <row r="18" spans="1:12" s="106" customFormat="1" ht="15" customHeight="1" x14ac:dyDescent="0.25">
      <c r="A18" s="35">
        <v>1</v>
      </c>
      <c r="B18" s="196"/>
      <c r="C18" s="104"/>
      <c r="D18" s="176"/>
      <c r="E18" s="104"/>
      <c r="F18" s="430"/>
      <c r="G18" s="385"/>
      <c r="H18" s="345"/>
      <c r="I18" s="345"/>
      <c r="J18" s="104"/>
      <c r="K18" s="105"/>
      <c r="L18" s="723"/>
    </row>
    <row r="19" spans="1:12" ht="15" customHeight="1" x14ac:dyDescent="0.25">
      <c r="A19" s="35">
        <v>1</v>
      </c>
      <c r="B19" s="736" t="s">
        <v>87</v>
      </c>
      <c r="C19" s="737"/>
      <c r="D19" s="737"/>
      <c r="E19" s="737"/>
      <c r="F19" s="738"/>
      <c r="G19" s="739"/>
      <c r="H19" s="740"/>
      <c r="I19" s="740"/>
      <c r="J19" s="737"/>
      <c r="K19" s="105"/>
    </row>
    <row r="20" spans="1:12" ht="51" customHeight="1" x14ac:dyDescent="0.25">
      <c r="A20" s="35">
        <v>1</v>
      </c>
      <c r="B20" s="542" t="s">
        <v>120</v>
      </c>
      <c r="C20" s="741">
        <f>C10</f>
        <v>1533</v>
      </c>
      <c r="D20" s="741">
        <f>D10</f>
        <v>1022</v>
      </c>
      <c r="E20" s="741">
        <f>E10</f>
        <v>629</v>
      </c>
      <c r="F20" s="741">
        <f>E20/D20*100</f>
        <v>61.545988258317031</v>
      </c>
      <c r="G20" s="742">
        <f>G10</f>
        <v>2329.9957899999999</v>
      </c>
      <c r="H20" s="742">
        <f>H10</f>
        <v>1553.33</v>
      </c>
      <c r="I20" s="742">
        <f>I10</f>
        <v>810.90400000000011</v>
      </c>
      <c r="J20" s="741">
        <f>I20/H20*100</f>
        <v>52.204232197923183</v>
      </c>
      <c r="K20" s="105"/>
    </row>
    <row r="21" spans="1:12" ht="42.75" customHeight="1" x14ac:dyDescent="0.25">
      <c r="A21" s="35">
        <v>1</v>
      </c>
      <c r="B21" s="743" t="s">
        <v>79</v>
      </c>
      <c r="C21" s="741">
        <f t="shared" ref="C21:E24" si="2">SUM(C11)</f>
        <v>1179</v>
      </c>
      <c r="D21" s="741">
        <f t="shared" si="2"/>
        <v>786</v>
      </c>
      <c r="E21" s="741">
        <f t="shared" si="2"/>
        <v>513</v>
      </c>
      <c r="F21" s="741">
        <f>E21/D21*100</f>
        <v>65.267175572519093</v>
      </c>
      <c r="G21" s="742">
        <f t="shared" ref="G21:I24" si="3">SUM(G11)</f>
        <v>1750.6734000000001</v>
      </c>
      <c r="H21" s="742">
        <f t="shared" si="3"/>
        <v>1167.1199999999999</v>
      </c>
      <c r="I21" s="742">
        <f t="shared" si="3"/>
        <v>613.21582000000012</v>
      </c>
      <c r="J21" s="741">
        <f t="shared" ref="J21:J26" si="4">I21/H21*100</f>
        <v>52.54094009185004</v>
      </c>
      <c r="K21" s="105"/>
    </row>
    <row r="22" spans="1:12" ht="37.5" customHeight="1" x14ac:dyDescent="0.25">
      <c r="A22" s="35">
        <v>1</v>
      </c>
      <c r="B22" s="743" t="s">
        <v>80</v>
      </c>
      <c r="C22" s="741">
        <f t="shared" si="2"/>
        <v>354</v>
      </c>
      <c r="D22" s="741">
        <f t="shared" si="2"/>
        <v>236</v>
      </c>
      <c r="E22" s="741">
        <f t="shared" si="2"/>
        <v>116</v>
      </c>
      <c r="F22" s="741">
        <f>E22/D22*100</f>
        <v>49.152542372881356</v>
      </c>
      <c r="G22" s="742">
        <f t="shared" si="3"/>
        <v>579.32239000000004</v>
      </c>
      <c r="H22" s="742">
        <f t="shared" si="3"/>
        <v>386.21</v>
      </c>
      <c r="I22" s="742">
        <f t="shared" si="3"/>
        <v>197.68817999999999</v>
      </c>
      <c r="J22" s="741">
        <f t="shared" si="4"/>
        <v>51.1867067139639</v>
      </c>
      <c r="K22" s="105"/>
    </row>
    <row r="23" spans="1:12" ht="30" x14ac:dyDescent="0.25">
      <c r="A23" s="35">
        <v>1</v>
      </c>
      <c r="B23" s="744" t="s">
        <v>112</v>
      </c>
      <c r="C23" s="741">
        <f t="shared" si="2"/>
        <v>0</v>
      </c>
      <c r="D23" s="741">
        <f t="shared" si="2"/>
        <v>0</v>
      </c>
      <c r="E23" s="741">
        <f t="shared" si="2"/>
        <v>0</v>
      </c>
      <c r="F23" s="741"/>
      <c r="G23" s="742">
        <f t="shared" si="3"/>
        <v>0</v>
      </c>
      <c r="H23" s="742">
        <f t="shared" si="3"/>
        <v>0</v>
      </c>
      <c r="I23" s="742">
        <f t="shared" si="3"/>
        <v>0</v>
      </c>
      <c r="J23" s="741"/>
      <c r="K23" s="105"/>
    </row>
    <row r="24" spans="1:12" ht="37.5" customHeight="1" x14ac:dyDescent="0.25">
      <c r="A24" s="35">
        <v>1</v>
      </c>
      <c r="B24" s="745" t="s">
        <v>108</v>
      </c>
      <c r="C24" s="746">
        <f t="shared" si="2"/>
        <v>0</v>
      </c>
      <c r="D24" s="746">
        <f t="shared" si="2"/>
        <v>0</v>
      </c>
      <c r="E24" s="746">
        <f t="shared" si="2"/>
        <v>0</v>
      </c>
      <c r="F24" s="746"/>
      <c r="G24" s="747">
        <f t="shared" si="3"/>
        <v>0</v>
      </c>
      <c r="H24" s="747">
        <f t="shared" si="3"/>
        <v>0</v>
      </c>
      <c r="I24" s="747">
        <f t="shared" si="3"/>
        <v>0</v>
      </c>
      <c r="J24" s="746"/>
      <c r="K24" s="105"/>
    </row>
    <row r="25" spans="1:12" ht="37.5" customHeight="1" thickBot="1" x14ac:dyDescent="0.3">
      <c r="A25" s="35">
        <v>1</v>
      </c>
      <c r="B25" s="745" t="s">
        <v>123</v>
      </c>
      <c r="C25" s="748">
        <f>SUM(C15)</f>
        <v>100</v>
      </c>
      <c r="D25" s="748">
        <f t="shared" ref="D25:J25" si="5">SUM(D15)</f>
        <v>67</v>
      </c>
      <c r="E25" s="748">
        <f t="shared" si="5"/>
        <v>18</v>
      </c>
      <c r="F25" s="748">
        <f t="shared" si="5"/>
        <v>26.865671641791046</v>
      </c>
      <c r="G25" s="748">
        <f t="shared" si="5"/>
        <v>81.102000000000004</v>
      </c>
      <c r="H25" s="748">
        <f t="shared" si="5"/>
        <v>54.07</v>
      </c>
      <c r="I25" s="748">
        <f t="shared" si="5"/>
        <v>14.517259999999998</v>
      </c>
      <c r="J25" s="748">
        <f t="shared" si="5"/>
        <v>26.849010541890138</v>
      </c>
      <c r="K25" s="105"/>
    </row>
    <row r="26" spans="1:12" s="33" customFormat="1" ht="15" customHeight="1" thickBot="1" x14ac:dyDescent="0.3">
      <c r="A26" s="35">
        <v>1</v>
      </c>
      <c r="B26" s="749" t="s">
        <v>105</v>
      </c>
      <c r="C26" s="750">
        <f t="shared" ref="C26:I26" si="6">SUM(C17)</f>
        <v>0</v>
      </c>
      <c r="D26" s="750">
        <f t="shared" si="6"/>
        <v>0</v>
      </c>
      <c r="E26" s="750">
        <f t="shared" si="6"/>
        <v>0</v>
      </c>
      <c r="F26" s="751"/>
      <c r="G26" s="752">
        <f t="shared" si="6"/>
        <v>2411.0977899999998</v>
      </c>
      <c r="H26" s="752">
        <f t="shared" si="6"/>
        <v>1607.3999999999999</v>
      </c>
      <c r="I26" s="752">
        <f t="shared" si="6"/>
        <v>825.42126000000007</v>
      </c>
      <c r="J26" s="751">
        <f t="shared" si="4"/>
        <v>51.351328854050024</v>
      </c>
      <c r="K26" s="105"/>
      <c r="L26" s="723"/>
    </row>
    <row r="27" spans="1:12" s="33" customFormat="1" ht="15" customHeight="1" x14ac:dyDescent="0.25">
      <c r="A27" s="35">
        <v>1</v>
      </c>
      <c r="B27" s="6"/>
      <c r="C27" s="602"/>
      <c r="D27" s="602"/>
      <c r="E27" s="602"/>
      <c r="F27" s="603"/>
      <c r="G27" s="604"/>
      <c r="H27" s="605"/>
      <c r="I27" s="605"/>
      <c r="J27" s="606"/>
      <c r="K27" s="105"/>
      <c r="L27" s="723"/>
    </row>
    <row r="28" spans="1:12" ht="15" customHeight="1" x14ac:dyDescent="0.25">
      <c r="A28" s="35">
        <v>1</v>
      </c>
      <c r="B28" s="79" t="s">
        <v>1</v>
      </c>
      <c r="C28" s="139"/>
      <c r="D28" s="139"/>
      <c r="E28" s="139"/>
      <c r="F28" s="139"/>
      <c r="G28" s="607"/>
      <c r="H28" s="346"/>
      <c r="I28" s="346"/>
      <c r="J28" s="140"/>
      <c r="K28" s="105"/>
    </row>
    <row r="29" spans="1:12" ht="33.75" customHeight="1" x14ac:dyDescent="0.25">
      <c r="A29" s="35">
        <v>1</v>
      </c>
      <c r="B29" s="73" t="s">
        <v>60</v>
      </c>
      <c r="C29" s="118"/>
      <c r="D29" s="118"/>
      <c r="E29" s="118"/>
      <c r="F29" s="118"/>
      <c r="G29" s="608"/>
      <c r="H29" s="347"/>
      <c r="I29" s="347"/>
      <c r="J29" s="113"/>
      <c r="K29" s="105"/>
    </row>
    <row r="30" spans="1:12" ht="30" x14ac:dyDescent="0.25">
      <c r="A30" s="35">
        <v>1</v>
      </c>
      <c r="B30" s="198" t="s">
        <v>120</v>
      </c>
      <c r="C30" s="113">
        <f>SUM(C31,C32)</f>
        <v>17727</v>
      </c>
      <c r="D30" s="113">
        <f>SUM(D31,D32)</f>
        <v>11818</v>
      </c>
      <c r="E30" s="113">
        <f>SUM(E31:E32)</f>
        <v>13105</v>
      </c>
      <c r="F30" s="113">
        <f>E30/D30*100</f>
        <v>110.89016754103909</v>
      </c>
      <c r="G30" s="596">
        <f>SUM(G31,G32)</f>
        <v>24357.382740000001</v>
      </c>
      <c r="H30" s="596">
        <f>SUM(H31,H32)</f>
        <v>16238.26</v>
      </c>
      <c r="I30" s="596">
        <f>SUM(I31:I32)</f>
        <v>17706.389579999999</v>
      </c>
      <c r="J30" s="113">
        <f>I30/H30*100</f>
        <v>109.04117547077088</v>
      </c>
      <c r="K30" s="105"/>
    </row>
    <row r="31" spans="1:12" ht="32.25" customHeight="1" x14ac:dyDescent="0.25">
      <c r="A31" s="35">
        <v>1</v>
      </c>
      <c r="B31" s="71" t="s">
        <v>79</v>
      </c>
      <c r="C31" s="113">
        <v>13636</v>
      </c>
      <c r="D31" s="107">
        <f t="shared" ref="D31:D37" si="7">ROUND(C31/12*$B$3,0)</f>
        <v>9091</v>
      </c>
      <c r="E31" s="113">
        <v>10149</v>
      </c>
      <c r="F31" s="113">
        <f t="shared" ref="F31:F37" si="8">E31/D31*100</f>
        <v>111.63788362116378</v>
      </c>
      <c r="G31" s="596">
        <v>18036.9084</v>
      </c>
      <c r="H31" s="596">
        <f t="shared" ref="H31:H32" si="9">ROUND(G31/12*$B$3,2)</f>
        <v>12024.61</v>
      </c>
      <c r="I31" s="596">
        <v>13317.80935</v>
      </c>
      <c r="J31" s="113">
        <f t="shared" ref="J31:J38" si="10">I31/H31*100</f>
        <v>110.75460534686779</v>
      </c>
      <c r="K31" s="105"/>
    </row>
    <row r="32" spans="1:12" ht="30" customHeight="1" x14ac:dyDescent="0.25">
      <c r="A32" s="35">
        <v>1</v>
      </c>
      <c r="B32" s="71" t="s">
        <v>80</v>
      </c>
      <c r="C32" s="174">
        <v>4091</v>
      </c>
      <c r="D32" s="174">
        <f t="shared" si="7"/>
        <v>2727</v>
      </c>
      <c r="E32" s="174">
        <v>2956</v>
      </c>
      <c r="F32" s="174">
        <f t="shared" si="8"/>
        <v>108.39750641730839</v>
      </c>
      <c r="G32" s="596">
        <v>6320.4743399999998</v>
      </c>
      <c r="H32" s="596">
        <f t="shared" si="9"/>
        <v>4213.6499999999996</v>
      </c>
      <c r="I32" s="596">
        <v>4388.5802299999996</v>
      </c>
      <c r="J32" s="113">
        <f t="shared" si="10"/>
        <v>104.15151305874954</v>
      </c>
      <c r="K32" s="105"/>
    </row>
    <row r="33" spans="1:12" ht="30" customHeight="1" x14ac:dyDescent="0.25">
      <c r="A33" s="35">
        <v>1</v>
      </c>
      <c r="B33" s="198" t="s">
        <v>112</v>
      </c>
      <c r="C33" s="174">
        <f>SUM(C34)</f>
        <v>800</v>
      </c>
      <c r="D33" s="174">
        <f t="shared" ref="D33:H33" si="11">SUM(D34)</f>
        <v>533</v>
      </c>
      <c r="E33" s="174">
        <f>E34</f>
        <v>246</v>
      </c>
      <c r="F33" s="174">
        <f t="shared" si="8"/>
        <v>46.153846153846153</v>
      </c>
      <c r="G33" s="596">
        <f t="shared" si="11"/>
        <v>1413.68</v>
      </c>
      <c r="H33" s="596">
        <f t="shared" si="11"/>
        <v>942.45</v>
      </c>
      <c r="I33" s="596">
        <f>I34</f>
        <v>421.21570000000003</v>
      </c>
      <c r="J33" s="113">
        <f t="shared" si="10"/>
        <v>44.693691973048971</v>
      </c>
      <c r="K33" s="105"/>
    </row>
    <row r="34" spans="1:12" ht="30" customHeight="1" x14ac:dyDescent="0.25">
      <c r="A34" s="35">
        <v>1</v>
      </c>
      <c r="B34" s="286" t="s">
        <v>108</v>
      </c>
      <c r="C34" s="174">
        <v>800</v>
      </c>
      <c r="D34" s="174">
        <f t="shared" si="7"/>
        <v>533</v>
      </c>
      <c r="E34" s="113">
        <v>246</v>
      </c>
      <c r="F34" s="113">
        <f t="shared" si="8"/>
        <v>46.153846153846153</v>
      </c>
      <c r="G34" s="596">
        <f>1413680/1000</f>
        <v>1413.68</v>
      </c>
      <c r="H34" s="596">
        <f t="shared" ref="H34:H37" si="12">ROUND(G34/12*$B$3,2)</f>
        <v>942.45</v>
      </c>
      <c r="I34" s="596">
        <v>421.21570000000003</v>
      </c>
      <c r="J34" s="113">
        <f t="shared" si="10"/>
        <v>44.693691973048971</v>
      </c>
      <c r="K34" s="105"/>
    </row>
    <row r="35" spans="1:12" s="106" customFormat="1" ht="30" customHeight="1" x14ac:dyDescent="0.25">
      <c r="A35" s="35">
        <v>1</v>
      </c>
      <c r="B35" s="116" t="s">
        <v>123</v>
      </c>
      <c r="C35" s="174">
        <v>27842.799999999999</v>
      </c>
      <c r="D35" s="174">
        <f t="shared" si="7"/>
        <v>18562</v>
      </c>
      <c r="E35" s="174">
        <f>3857+E36+E37</f>
        <v>18994</v>
      </c>
      <c r="F35" s="174">
        <f t="shared" si="8"/>
        <v>102.3273354164422</v>
      </c>
      <c r="G35" s="596">
        <v>22581.229859999999</v>
      </c>
      <c r="H35" s="596">
        <f t="shared" si="12"/>
        <v>15054.15</v>
      </c>
      <c r="I35" s="596">
        <f>3120.09612+I36+I37</f>
        <v>15393.398560000001</v>
      </c>
      <c r="J35" s="113">
        <f>I35/H35*100</f>
        <v>102.25352185277814</v>
      </c>
      <c r="K35" s="105"/>
      <c r="L35" s="723"/>
    </row>
    <row r="36" spans="1:12" s="106" customFormat="1" ht="30" x14ac:dyDescent="0.25">
      <c r="A36" s="35">
        <v>1</v>
      </c>
      <c r="B36" s="116" t="s">
        <v>124</v>
      </c>
      <c r="C36" s="174">
        <v>12364.4</v>
      </c>
      <c r="D36" s="174">
        <f t="shared" si="7"/>
        <v>8243</v>
      </c>
      <c r="E36" s="174">
        <v>8802</v>
      </c>
      <c r="F36" s="174">
        <f t="shared" si="8"/>
        <v>106.78151158558778</v>
      </c>
      <c r="G36" s="596">
        <v>10027.847719373913</v>
      </c>
      <c r="H36" s="596">
        <f t="shared" si="12"/>
        <v>6685.23</v>
      </c>
      <c r="I36" s="596">
        <v>7138.5980400000008</v>
      </c>
      <c r="J36" s="113">
        <f>I36/H36*100</f>
        <v>106.78163713140761</v>
      </c>
      <c r="K36" s="105"/>
      <c r="L36" s="723"/>
    </row>
    <row r="37" spans="1:12" s="106" customFormat="1" ht="15.75" thickBot="1" x14ac:dyDescent="0.3">
      <c r="A37" s="35">
        <v>1</v>
      </c>
      <c r="B37" s="116" t="s">
        <v>125</v>
      </c>
      <c r="C37" s="174">
        <v>8485.6</v>
      </c>
      <c r="D37" s="174">
        <f t="shared" si="7"/>
        <v>5657</v>
      </c>
      <c r="E37" s="174">
        <v>6335</v>
      </c>
      <c r="F37" s="174">
        <f t="shared" si="8"/>
        <v>111.98515114018031</v>
      </c>
      <c r="G37" s="596">
        <v>6882.0407466208862</v>
      </c>
      <c r="H37" s="596">
        <f t="shared" si="12"/>
        <v>4588.03</v>
      </c>
      <c r="I37" s="596">
        <v>5134.7044000000005</v>
      </c>
      <c r="J37" s="113">
        <f>I37/H37*100</f>
        <v>111.91523159177252</v>
      </c>
      <c r="K37" s="105"/>
      <c r="L37" s="723"/>
    </row>
    <row r="38" spans="1:12" ht="15.75" thickBot="1" x14ac:dyDescent="0.3">
      <c r="A38" s="35">
        <v>1</v>
      </c>
      <c r="B38" s="299" t="s">
        <v>3</v>
      </c>
      <c r="C38" s="609"/>
      <c r="D38" s="609"/>
      <c r="E38" s="609"/>
      <c r="F38" s="610"/>
      <c r="G38" s="611">
        <f>G30+G33+G35</f>
        <v>48352.292600000001</v>
      </c>
      <c r="H38" s="611">
        <f>H30+H33+H35</f>
        <v>32234.86</v>
      </c>
      <c r="I38" s="611">
        <f>I30+I33+I35</f>
        <v>33521.003840000005</v>
      </c>
      <c r="J38" s="426">
        <f t="shared" si="10"/>
        <v>103.98991601018277</v>
      </c>
      <c r="K38" s="105"/>
    </row>
    <row r="39" spans="1:12" ht="15" customHeight="1" x14ac:dyDescent="0.25">
      <c r="A39" s="35">
        <v>1</v>
      </c>
      <c r="B39" s="28"/>
      <c r="C39" s="141"/>
      <c r="D39" s="141"/>
      <c r="E39" s="141"/>
      <c r="F39" s="141"/>
      <c r="G39" s="612"/>
      <c r="H39" s="348"/>
      <c r="I39" s="348"/>
      <c r="J39" s="613"/>
      <c r="K39" s="105"/>
    </row>
    <row r="40" spans="1:12" ht="43.5" x14ac:dyDescent="0.25">
      <c r="A40" s="35">
        <v>1</v>
      </c>
      <c r="B40" s="73" t="s">
        <v>61</v>
      </c>
      <c r="C40" s="118"/>
      <c r="D40" s="118"/>
      <c r="E40" s="118"/>
      <c r="F40" s="118"/>
      <c r="G40" s="349"/>
      <c r="H40" s="349"/>
      <c r="I40" s="349"/>
      <c r="J40" s="118"/>
      <c r="K40" s="105"/>
    </row>
    <row r="41" spans="1:12" ht="30" customHeight="1" x14ac:dyDescent="0.25">
      <c r="A41" s="35">
        <v>1</v>
      </c>
      <c r="B41" s="198" t="s">
        <v>120</v>
      </c>
      <c r="C41" s="113">
        <f>SUM(C42:C43)</f>
        <v>200</v>
      </c>
      <c r="D41" s="113">
        <f>SUM(D42:D43)</f>
        <v>133</v>
      </c>
      <c r="E41" s="113">
        <f>SUM(E42:E43)</f>
        <v>148</v>
      </c>
      <c r="F41" s="113">
        <f t="shared" ref="F41:F47" si="13">E41/D41*100</f>
        <v>111.27819548872179</v>
      </c>
      <c r="G41" s="596">
        <f>SUM(G42:G43)</f>
        <v>1093.6799999999998</v>
      </c>
      <c r="H41" s="596">
        <f>SUM(H42:H43)</f>
        <v>729.12</v>
      </c>
      <c r="I41" s="596">
        <f>SUM(I42:I43)</f>
        <v>807.68268</v>
      </c>
      <c r="J41" s="113">
        <f>I41/H41*100</f>
        <v>110.77500000000001</v>
      </c>
      <c r="K41" s="105"/>
    </row>
    <row r="42" spans="1:12" ht="30" x14ac:dyDescent="0.25">
      <c r="A42" s="35">
        <v>1</v>
      </c>
      <c r="B42" s="71" t="s">
        <v>114</v>
      </c>
      <c r="C42" s="113">
        <v>90</v>
      </c>
      <c r="D42" s="107">
        <f t="shared" ref="D42:D47" si="14">ROUND(C42/12*$B$3,0)</f>
        <v>60</v>
      </c>
      <c r="E42" s="113">
        <v>90</v>
      </c>
      <c r="F42" s="113">
        <f t="shared" si="13"/>
        <v>150</v>
      </c>
      <c r="G42" s="596">
        <v>492.15599999999995</v>
      </c>
      <c r="H42" s="596">
        <f t="shared" ref="H42:H43" si="15">ROUND(G42/12*$B$3,2)</f>
        <v>328.1</v>
      </c>
      <c r="I42" s="596">
        <v>491.60915999999997</v>
      </c>
      <c r="J42" s="113">
        <f>I42/H42*100</f>
        <v>149.83516001219138</v>
      </c>
      <c r="K42" s="105"/>
    </row>
    <row r="43" spans="1:12" ht="30" x14ac:dyDescent="0.25">
      <c r="A43" s="35">
        <v>1</v>
      </c>
      <c r="B43" s="71" t="s">
        <v>115</v>
      </c>
      <c r="C43" s="113">
        <v>110</v>
      </c>
      <c r="D43" s="107">
        <f t="shared" si="14"/>
        <v>73</v>
      </c>
      <c r="E43" s="113">
        <v>58</v>
      </c>
      <c r="F43" s="113">
        <f t="shared" si="13"/>
        <v>79.452054794520549</v>
      </c>
      <c r="G43" s="596">
        <v>601.524</v>
      </c>
      <c r="H43" s="596">
        <f t="shared" si="15"/>
        <v>401.02</v>
      </c>
      <c r="I43" s="596">
        <v>316.07352000000003</v>
      </c>
      <c r="J43" s="113">
        <f t="shared" ref="J43:J48" si="16">I43/H43*100</f>
        <v>78.817395641115155</v>
      </c>
      <c r="K43" s="105"/>
    </row>
    <row r="44" spans="1:12" ht="30" x14ac:dyDescent="0.25">
      <c r="A44" s="35">
        <v>1</v>
      </c>
      <c r="B44" s="198" t="s">
        <v>112</v>
      </c>
      <c r="C44" s="113">
        <f>SUM(C45:C46)</f>
        <v>11295</v>
      </c>
      <c r="D44" s="113">
        <f>SUM(D45:D46)</f>
        <v>7530</v>
      </c>
      <c r="E44" s="113">
        <f>SUM(E45:E46)</f>
        <v>7313</v>
      </c>
      <c r="F44" s="113">
        <f t="shared" si="13"/>
        <v>97.118193891102251</v>
      </c>
      <c r="G44" s="596">
        <f>SUM(G45:G46)</f>
        <v>21932.256000000001</v>
      </c>
      <c r="H44" s="596">
        <f>SUM(H45:H46)</f>
        <v>14621.51</v>
      </c>
      <c r="I44" s="596">
        <f>SUM(I45:I46)</f>
        <v>13276.476180000001</v>
      </c>
      <c r="J44" s="113">
        <f t="shared" si="16"/>
        <v>90.800992373564711</v>
      </c>
      <c r="K44" s="105"/>
    </row>
    <row r="45" spans="1:12" ht="60" x14ac:dyDescent="0.25">
      <c r="A45" s="35">
        <v>1</v>
      </c>
      <c r="B45" s="71" t="s">
        <v>118</v>
      </c>
      <c r="C45" s="113">
        <v>8600</v>
      </c>
      <c r="D45" s="107">
        <f t="shared" si="14"/>
        <v>5733</v>
      </c>
      <c r="E45" s="107">
        <v>5315</v>
      </c>
      <c r="F45" s="113">
        <f t="shared" si="13"/>
        <v>92.708878423164137</v>
      </c>
      <c r="G45" s="596">
        <f>19730980/1000</f>
        <v>19730.98</v>
      </c>
      <c r="H45" s="596">
        <f t="shared" ref="H45:H47" si="17">ROUND(G45/12*$B$3,2)</f>
        <v>13153.99</v>
      </c>
      <c r="I45" s="596">
        <v>11399.009490000002</v>
      </c>
      <c r="J45" s="113">
        <f t="shared" si="16"/>
        <v>86.658188808110708</v>
      </c>
      <c r="K45" s="105"/>
    </row>
    <row r="46" spans="1:12" ht="45" x14ac:dyDescent="0.25">
      <c r="A46" s="35">
        <v>1</v>
      </c>
      <c r="B46" s="71" t="s">
        <v>109</v>
      </c>
      <c r="C46" s="113">
        <v>2695</v>
      </c>
      <c r="D46" s="107">
        <f t="shared" si="14"/>
        <v>1797</v>
      </c>
      <c r="E46" s="107">
        <v>1998</v>
      </c>
      <c r="F46" s="113">
        <f t="shared" si="13"/>
        <v>111.18530884808013</v>
      </c>
      <c r="G46" s="596">
        <f>2201276/1000</f>
        <v>2201.2759999999998</v>
      </c>
      <c r="H46" s="596">
        <f t="shared" si="17"/>
        <v>1467.52</v>
      </c>
      <c r="I46" s="596">
        <v>1877.46669</v>
      </c>
      <c r="J46" s="113">
        <f t="shared" si="16"/>
        <v>127.93465779001308</v>
      </c>
      <c r="K46" s="105"/>
    </row>
    <row r="47" spans="1:12" ht="32.25" customHeight="1" thickBot="1" x14ac:dyDescent="0.3">
      <c r="A47" s="35">
        <v>1</v>
      </c>
      <c r="B47" s="667" t="s">
        <v>123</v>
      </c>
      <c r="C47" s="662">
        <v>8700</v>
      </c>
      <c r="D47" s="663">
        <f t="shared" si="14"/>
        <v>5800</v>
      </c>
      <c r="E47" s="661">
        <v>6083</v>
      </c>
      <c r="F47" s="113">
        <f t="shared" si="13"/>
        <v>104.87931034482759</v>
      </c>
      <c r="G47" s="635">
        <v>7055.8739999999998</v>
      </c>
      <c r="H47" s="596">
        <f t="shared" si="17"/>
        <v>4703.92</v>
      </c>
      <c r="I47" s="721">
        <v>4910.0460799999992</v>
      </c>
      <c r="J47" s="599">
        <f>I47/H47*100</f>
        <v>104.3820064967091</v>
      </c>
      <c r="K47" s="105"/>
    </row>
    <row r="48" spans="1:12" ht="15.75" thickBot="1" x14ac:dyDescent="0.3">
      <c r="A48" s="35">
        <v>1</v>
      </c>
      <c r="B48" s="119" t="s">
        <v>3</v>
      </c>
      <c r="C48" s="666"/>
      <c r="D48" s="426"/>
      <c r="E48" s="622"/>
      <c r="F48" s="614"/>
      <c r="G48" s="624">
        <f>G41+G44+G47</f>
        <v>30081.81</v>
      </c>
      <c r="H48" s="624">
        <f>H41+H44+H47</f>
        <v>20054.550000000003</v>
      </c>
      <c r="I48" s="624">
        <f>I41+I44+I47</f>
        <v>18994.20494</v>
      </c>
      <c r="J48" s="615">
        <f t="shared" si="16"/>
        <v>94.712695822145093</v>
      </c>
      <c r="K48" s="105"/>
    </row>
    <row r="49" spans="1:12" ht="15" customHeight="1" x14ac:dyDescent="0.25">
      <c r="A49" s="35">
        <v>1</v>
      </c>
      <c r="B49" s="81"/>
      <c r="C49" s="142"/>
      <c r="D49" s="142"/>
      <c r="E49" s="598"/>
      <c r="F49" s="142"/>
      <c r="G49" s="352"/>
      <c r="H49" s="352"/>
      <c r="I49" s="664"/>
      <c r="J49" s="616"/>
      <c r="K49" s="105"/>
    </row>
    <row r="50" spans="1:12" ht="29.25" customHeight="1" x14ac:dyDescent="0.25">
      <c r="A50" s="35">
        <v>1</v>
      </c>
      <c r="B50" s="73" t="s">
        <v>62</v>
      </c>
      <c r="C50" s="118"/>
      <c r="D50" s="118"/>
      <c r="E50" s="118"/>
      <c r="F50" s="118"/>
      <c r="G50" s="350"/>
      <c r="H50" s="350"/>
      <c r="I50" s="665"/>
      <c r="J50" s="617"/>
      <c r="K50" s="105"/>
    </row>
    <row r="51" spans="1:12" ht="33.6" customHeight="1" x14ac:dyDescent="0.25">
      <c r="A51" s="35">
        <v>1</v>
      </c>
      <c r="B51" s="198" t="s">
        <v>120</v>
      </c>
      <c r="C51" s="113">
        <f>SUM(C52:C53)</f>
        <v>340</v>
      </c>
      <c r="D51" s="113">
        <f>SUM(D52:D53)</f>
        <v>226</v>
      </c>
      <c r="E51" s="113">
        <f>SUM(E52:E53)</f>
        <v>357</v>
      </c>
      <c r="F51" s="113">
        <f t="shared" ref="F51:F58" si="18">E51/D51*100</f>
        <v>157.9646017699115</v>
      </c>
      <c r="G51" s="596">
        <f>SUM(G52:G53)</f>
        <v>1859.2559999999999</v>
      </c>
      <c r="H51" s="596">
        <f>SUM(H52:H53)</f>
        <v>1239.51</v>
      </c>
      <c r="I51" s="596">
        <f>SUM(I52:I53)</f>
        <v>1924.32996</v>
      </c>
      <c r="J51" s="115">
        <f>I51/H51*100</f>
        <v>155.24924849335625</v>
      </c>
      <c r="K51" s="105"/>
    </row>
    <row r="52" spans="1:12" ht="30" customHeight="1" x14ac:dyDescent="0.25">
      <c r="A52" s="35">
        <v>1</v>
      </c>
      <c r="B52" s="71" t="s">
        <v>114</v>
      </c>
      <c r="C52" s="113">
        <v>230</v>
      </c>
      <c r="D52" s="107">
        <f t="shared" ref="D52:D58" si="19">ROUND(C52/12*$B$3,0)</f>
        <v>153</v>
      </c>
      <c r="E52" s="107">
        <v>213</v>
      </c>
      <c r="F52" s="113">
        <f t="shared" si="18"/>
        <v>139.21568627450981</v>
      </c>
      <c r="G52" s="596">
        <v>1257.732</v>
      </c>
      <c r="H52" s="596">
        <f t="shared" ref="H52:H53" si="20">ROUND(G52/12*$B$3,2)</f>
        <v>838.49</v>
      </c>
      <c r="I52" s="596">
        <v>1139.61456</v>
      </c>
      <c r="J52" s="115">
        <f t="shared" ref="J52:J59" si="21">I52/H52*100</f>
        <v>135.91271929301482</v>
      </c>
      <c r="K52" s="105"/>
    </row>
    <row r="53" spans="1:12" ht="36" customHeight="1" x14ac:dyDescent="0.25">
      <c r="A53" s="35">
        <v>1</v>
      </c>
      <c r="B53" s="71" t="s">
        <v>115</v>
      </c>
      <c r="C53" s="113">
        <v>110</v>
      </c>
      <c r="D53" s="107">
        <f t="shared" si="19"/>
        <v>73</v>
      </c>
      <c r="E53" s="113">
        <v>144</v>
      </c>
      <c r="F53" s="113">
        <f t="shared" si="18"/>
        <v>197.26027397260273</v>
      </c>
      <c r="G53" s="596">
        <v>601.524</v>
      </c>
      <c r="H53" s="596">
        <f t="shared" si="20"/>
        <v>401.02</v>
      </c>
      <c r="I53" s="596">
        <v>784.71540000000005</v>
      </c>
      <c r="J53" s="115">
        <f t="shared" si="21"/>
        <v>195.6798663408309</v>
      </c>
      <c r="K53" s="105"/>
    </row>
    <row r="54" spans="1:12" ht="30" x14ac:dyDescent="0.25">
      <c r="A54" s="35">
        <v>1</v>
      </c>
      <c r="B54" s="198" t="s">
        <v>112</v>
      </c>
      <c r="C54" s="113">
        <f>SUM(C55:C56)</f>
        <v>24285</v>
      </c>
      <c r="D54" s="113">
        <f>SUM(D55:D56)</f>
        <v>16190</v>
      </c>
      <c r="E54" s="113">
        <f>SUM(E55:E56)</f>
        <v>14808</v>
      </c>
      <c r="F54" s="113">
        <f t="shared" si="18"/>
        <v>91.463866584311305</v>
      </c>
      <c r="G54" s="596">
        <f>SUM(G55:G56)</f>
        <v>53186.117999999995</v>
      </c>
      <c r="H54" s="596">
        <f>SUM(H55:H56)</f>
        <v>35457.42</v>
      </c>
      <c r="I54" s="595">
        <f>SUM(I55:I56)</f>
        <v>35444.536490000006</v>
      </c>
      <c r="J54" s="113">
        <f t="shared" si="21"/>
        <v>99.963664840814729</v>
      </c>
      <c r="K54" s="105"/>
    </row>
    <row r="55" spans="1:12" ht="60" x14ac:dyDescent="0.25">
      <c r="A55" s="35">
        <v>1</v>
      </c>
      <c r="B55" s="71" t="s">
        <v>118</v>
      </c>
      <c r="C55" s="113">
        <v>22572</v>
      </c>
      <c r="D55" s="107">
        <f t="shared" si="19"/>
        <v>15048</v>
      </c>
      <c r="E55" s="107">
        <v>13957</v>
      </c>
      <c r="F55" s="113">
        <f t="shared" si="18"/>
        <v>92.749867091972362</v>
      </c>
      <c r="G55" s="596">
        <f>51786939.6/1000</f>
        <v>51786.939599999998</v>
      </c>
      <c r="H55" s="596">
        <f t="shared" ref="H55:H58" si="22">ROUND(G55/12*$B$3,2)</f>
        <v>34524.629999999997</v>
      </c>
      <c r="I55" s="596">
        <v>34652.491980000006</v>
      </c>
      <c r="J55" s="113">
        <f t="shared" si="21"/>
        <v>100.37035003706052</v>
      </c>
      <c r="K55" s="105"/>
    </row>
    <row r="56" spans="1:12" ht="45" x14ac:dyDescent="0.25">
      <c r="A56" s="35">
        <v>1</v>
      </c>
      <c r="B56" s="71" t="s">
        <v>109</v>
      </c>
      <c r="C56" s="113">
        <v>1713</v>
      </c>
      <c r="D56" s="107">
        <f t="shared" si="19"/>
        <v>1142</v>
      </c>
      <c r="E56" s="107">
        <v>851</v>
      </c>
      <c r="F56" s="113">
        <f t="shared" si="18"/>
        <v>74.518388791593694</v>
      </c>
      <c r="G56" s="596">
        <f>1399178.4/1000</f>
        <v>1399.1784</v>
      </c>
      <c r="H56" s="596">
        <f t="shared" si="22"/>
        <v>932.79</v>
      </c>
      <c r="I56" s="596">
        <v>792.04451000000006</v>
      </c>
      <c r="J56" s="113">
        <f t="shared" si="21"/>
        <v>84.911342317134626</v>
      </c>
      <c r="K56" s="105"/>
    </row>
    <row r="57" spans="1:12" s="106" customFormat="1" ht="33.75" customHeight="1" x14ac:dyDescent="0.25">
      <c r="A57" s="35">
        <v>1</v>
      </c>
      <c r="B57" s="285" t="s">
        <v>123</v>
      </c>
      <c r="C57" s="174">
        <v>17187</v>
      </c>
      <c r="D57" s="300">
        <f t="shared" si="19"/>
        <v>11458</v>
      </c>
      <c r="E57" s="300">
        <f>11220+E58</f>
        <v>11608</v>
      </c>
      <c r="F57" s="174">
        <f t="shared" si="18"/>
        <v>101.30912899284343</v>
      </c>
      <c r="G57" s="596">
        <v>13939.000739999999</v>
      </c>
      <c r="H57" s="596">
        <f t="shared" si="22"/>
        <v>9292.67</v>
      </c>
      <c r="I57" s="596">
        <f>9065.4494+I58</f>
        <v>9378.2102400000003</v>
      </c>
      <c r="J57" s="174">
        <f>I57/H57*100</f>
        <v>100.9205130495326</v>
      </c>
      <c r="K57" s="105"/>
      <c r="L57" s="723"/>
    </row>
    <row r="58" spans="1:12" s="106" customFormat="1" ht="20.45" customHeight="1" thickBot="1" x14ac:dyDescent="0.3">
      <c r="A58" s="35">
        <v>1</v>
      </c>
      <c r="B58" s="285" t="s">
        <v>125</v>
      </c>
      <c r="C58" s="174">
        <v>200</v>
      </c>
      <c r="D58" s="300">
        <f t="shared" si="19"/>
        <v>133</v>
      </c>
      <c r="E58" s="300">
        <v>388</v>
      </c>
      <c r="F58" s="174">
        <f t="shared" si="18"/>
        <v>291.72932330827069</v>
      </c>
      <c r="G58" s="596">
        <v>162.20399999999998</v>
      </c>
      <c r="H58" s="596">
        <f t="shared" si="22"/>
        <v>108.14</v>
      </c>
      <c r="I58" s="596">
        <v>312.76083999999997</v>
      </c>
      <c r="J58" s="174">
        <f>I58/H58*100</f>
        <v>289.21845755502125</v>
      </c>
      <c r="K58" s="105"/>
      <c r="L58" s="723"/>
    </row>
    <row r="59" spans="1:12" s="13" customFormat="1" ht="15" customHeight="1" thickBot="1" x14ac:dyDescent="0.3">
      <c r="A59" s="35">
        <v>1</v>
      </c>
      <c r="B59" s="319" t="s">
        <v>3</v>
      </c>
      <c r="C59" s="609"/>
      <c r="D59" s="609"/>
      <c r="E59" s="609"/>
      <c r="F59" s="618"/>
      <c r="G59" s="611">
        <f>G54+G51+G57</f>
        <v>68984.374739999999</v>
      </c>
      <c r="H59" s="611">
        <f>H54+H51+H57</f>
        <v>45989.599999999999</v>
      </c>
      <c r="I59" s="611">
        <f>I54+I51+I57</f>
        <v>46747.076690000009</v>
      </c>
      <c r="J59" s="619">
        <f t="shared" si="21"/>
        <v>101.64706083549326</v>
      </c>
      <c r="K59" s="105"/>
      <c r="L59" s="723"/>
    </row>
    <row r="60" spans="1:12" ht="15" customHeight="1" x14ac:dyDescent="0.25">
      <c r="A60" s="35">
        <v>1</v>
      </c>
      <c r="B60" s="81"/>
      <c r="C60" s="143"/>
      <c r="D60" s="143"/>
      <c r="E60" s="143"/>
      <c r="F60" s="142"/>
      <c r="G60" s="353"/>
      <c r="H60" s="353"/>
      <c r="I60" s="353"/>
      <c r="J60" s="143"/>
      <c r="K60" s="105"/>
    </row>
    <row r="61" spans="1:12" ht="33" customHeight="1" x14ac:dyDescent="0.25">
      <c r="A61" s="35">
        <v>1</v>
      </c>
      <c r="B61" s="26" t="s">
        <v>63</v>
      </c>
      <c r="C61" s="121"/>
      <c r="D61" s="121"/>
      <c r="E61" s="121"/>
      <c r="F61" s="118"/>
      <c r="G61" s="354"/>
      <c r="H61" s="354"/>
      <c r="I61" s="354"/>
      <c r="J61" s="121"/>
      <c r="K61" s="105"/>
    </row>
    <row r="62" spans="1:12" ht="30" x14ac:dyDescent="0.25">
      <c r="A62" s="35">
        <v>1</v>
      </c>
      <c r="B62" s="198" t="s">
        <v>120</v>
      </c>
      <c r="C62" s="113">
        <f>SUM(C63:C64)</f>
        <v>19270</v>
      </c>
      <c r="D62" s="113">
        <f>SUM(D63:D64)</f>
        <v>12847</v>
      </c>
      <c r="E62" s="113">
        <f>SUM(E63:E64)</f>
        <v>12502</v>
      </c>
      <c r="F62" s="113">
        <f t="shared" ref="F62:F67" si="23">E62/D62*100</f>
        <v>97.314548143535447</v>
      </c>
      <c r="G62" s="596">
        <f>SUM(G63:G64)</f>
        <v>27113.701850000001</v>
      </c>
      <c r="H62" s="596">
        <f>SUM(H63:H64)</f>
        <v>18075.8</v>
      </c>
      <c r="I62" s="596">
        <f>SUM(I63:I64)</f>
        <v>14489.377649999999</v>
      </c>
      <c r="J62" s="113">
        <f t="shared" ref="J62:J68" si="24">I62/H62*100</f>
        <v>80.158984111353291</v>
      </c>
      <c r="K62" s="105"/>
    </row>
    <row r="63" spans="1:12" ht="30" customHeight="1" x14ac:dyDescent="0.25">
      <c r="A63" s="35">
        <v>1</v>
      </c>
      <c r="B63" s="71" t="s">
        <v>79</v>
      </c>
      <c r="C63" s="113">
        <v>14823</v>
      </c>
      <c r="D63" s="107">
        <f>ROUND(C63/12*$B$3,0)</f>
        <v>9882</v>
      </c>
      <c r="E63" s="113">
        <v>9542</v>
      </c>
      <c r="F63" s="113">
        <f t="shared" si="23"/>
        <v>96.559400930985632</v>
      </c>
      <c r="G63" s="596">
        <v>20194.4162</v>
      </c>
      <c r="H63" s="596">
        <f t="shared" ref="H63:H64" si="25">ROUND(G63/12*$B$3,2)</f>
        <v>13462.94</v>
      </c>
      <c r="I63" s="596">
        <v>9867.6447599999992</v>
      </c>
      <c r="J63" s="113">
        <f t="shared" si="24"/>
        <v>73.294872888091305</v>
      </c>
      <c r="K63" s="105"/>
    </row>
    <row r="64" spans="1:12" ht="28.5" customHeight="1" x14ac:dyDescent="0.25">
      <c r="A64" s="35">
        <v>1</v>
      </c>
      <c r="B64" s="71" t="s">
        <v>80</v>
      </c>
      <c r="C64" s="113">
        <v>4447</v>
      </c>
      <c r="D64" s="107">
        <f>ROUND(C64/12*$B$3,0)</f>
        <v>2965</v>
      </c>
      <c r="E64" s="113">
        <v>2960</v>
      </c>
      <c r="F64" s="174">
        <f t="shared" si="23"/>
        <v>99.831365935919052</v>
      </c>
      <c r="G64" s="596">
        <v>6919.2856500000007</v>
      </c>
      <c r="H64" s="596">
        <f t="shared" si="25"/>
        <v>4612.8599999999997</v>
      </c>
      <c r="I64" s="596">
        <v>4621.7328899999993</v>
      </c>
      <c r="J64" s="113">
        <f t="shared" si="24"/>
        <v>100.19235116608785</v>
      </c>
      <c r="K64" s="105"/>
    </row>
    <row r="65" spans="1:12" ht="28.5" customHeight="1" x14ac:dyDescent="0.25">
      <c r="A65" s="35">
        <v>1</v>
      </c>
      <c r="B65" s="198" t="s">
        <v>112</v>
      </c>
      <c r="C65" s="174">
        <f>SUM(C66)</f>
        <v>500</v>
      </c>
      <c r="D65" s="174">
        <f t="shared" ref="D65:I65" si="26">SUM(D66)</f>
        <v>333</v>
      </c>
      <c r="E65" s="174">
        <f t="shared" si="26"/>
        <v>346</v>
      </c>
      <c r="F65" s="174">
        <f t="shared" si="23"/>
        <v>103.9039039039039</v>
      </c>
      <c r="G65" s="596">
        <f t="shared" si="26"/>
        <v>883.55</v>
      </c>
      <c r="H65" s="596">
        <f t="shared" si="26"/>
        <v>589.03</v>
      </c>
      <c r="I65" s="596">
        <f t="shared" si="26"/>
        <v>611.98224000000005</v>
      </c>
      <c r="J65" s="113">
        <f t="shared" si="24"/>
        <v>103.8966164711475</v>
      </c>
      <c r="K65" s="105"/>
    </row>
    <row r="66" spans="1:12" ht="28.5" customHeight="1" x14ac:dyDescent="0.25">
      <c r="A66" s="35">
        <v>1</v>
      </c>
      <c r="B66" s="286" t="s">
        <v>108</v>
      </c>
      <c r="C66" s="174">
        <v>500</v>
      </c>
      <c r="D66" s="174">
        <f>ROUND(C66/12*$B$3,0)</f>
        <v>333</v>
      </c>
      <c r="E66" s="174">
        <v>346</v>
      </c>
      <c r="F66" s="174">
        <f t="shared" si="23"/>
        <v>103.9039039039039</v>
      </c>
      <c r="G66" s="596">
        <f>883550/1000</f>
        <v>883.55</v>
      </c>
      <c r="H66" s="596">
        <f>ROUND(G66/12*$B$3,2)</f>
        <v>589.03</v>
      </c>
      <c r="I66" s="596">
        <v>611.98224000000005</v>
      </c>
      <c r="J66" s="174">
        <f t="shared" si="24"/>
        <v>103.8966164711475</v>
      </c>
      <c r="K66" s="105"/>
    </row>
    <row r="67" spans="1:12" s="106" customFormat="1" ht="28.5" customHeight="1" thickBot="1" x14ac:dyDescent="0.3">
      <c r="A67" s="35">
        <v>1</v>
      </c>
      <c r="B67" s="116" t="s">
        <v>123</v>
      </c>
      <c r="C67" s="174">
        <v>18000</v>
      </c>
      <c r="D67" s="174">
        <f>ROUND(C67/12*$B$3,0)</f>
        <v>12000</v>
      </c>
      <c r="E67" s="174">
        <v>12230</v>
      </c>
      <c r="F67" s="174">
        <f t="shared" si="23"/>
        <v>101.91666666666667</v>
      </c>
      <c r="G67" s="596">
        <v>14598.36</v>
      </c>
      <c r="H67" s="596">
        <f>ROUND(G67/12*$B$3,2)</f>
        <v>9732.24</v>
      </c>
      <c r="I67" s="596">
        <v>9916.0860700000012</v>
      </c>
      <c r="J67" s="174">
        <f>I67/H67*100</f>
        <v>101.88904168002435</v>
      </c>
      <c r="K67" s="105"/>
      <c r="L67" s="723"/>
    </row>
    <row r="68" spans="1:12" ht="15.75" customHeight="1" thickBot="1" x14ac:dyDescent="0.3">
      <c r="A68" s="35">
        <v>1</v>
      </c>
      <c r="B68" s="299" t="s">
        <v>3</v>
      </c>
      <c r="C68" s="609"/>
      <c r="D68" s="609"/>
      <c r="E68" s="609"/>
      <c r="F68" s="618"/>
      <c r="G68" s="611">
        <f>G65+G62+G67</f>
        <v>42595.611850000001</v>
      </c>
      <c r="H68" s="611">
        <f>H65+H62+H67</f>
        <v>28397.07</v>
      </c>
      <c r="I68" s="611">
        <f>I65+I62+I67</f>
        <v>25017.445959999997</v>
      </c>
      <c r="J68" s="619">
        <f t="shared" si="24"/>
        <v>88.098687505436288</v>
      </c>
      <c r="K68" s="105"/>
    </row>
    <row r="69" spans="1:12" x14ac:dyDescent="0.25">
      <c r="A69" s="35">
        <v>1</v>
      </c>
      <c r="B69" s="30"/>
      <c r="C69" s="143"/>
      <c r="D69" s="143"/>
      <c r="E69" s="143"/>
      <c r="F69" s="142"/>
      <c r="G69" s="353"/>
      <c r="H69" s="353"/>
      <c r="I69" s="353"/>
      <c r="J69" s="143"/>
      <c r="K69" s="105"/>
    </row>
    <row r="70" spans="1:12" ht="29.25" x14ac:dyDescent="0.25">
      <c r="A70" s="35">
        <v>1</v>
      </c>
      <c r="B70" s="26" t="s">
        <v>64</v>
      </c>
      <c r="C70" s="121"/>
      <c r="D70" s="121"/>
      <c r="E70" s="121"/>
      <c r="F70" s="118"/>
      <c r="G70" s="354"/>
      <c r="H70" s="354"/>
      <c r="I70" s="354"/>
      <c r="J70" s="121"/>
      <c r="K70" s="105"/>
    </row>
    <row r="71" spans="1:12" ht="44.25" customHeight="1" x14ac:dyDescent="0.25">
      <c r="A71" s="35">
        <v>1</v>
      </c>
      <c r="B71" s="198" t="s">
        <v>120</v>
      </c>
      <c r="C71" s="113">
        <f>SUM(C72:C73)</f>
        <v>11144</v>
      </c>
      <c r="D71" s="113">
        <f>SUM(D72:D73)</f>
        <v>7430</v>
      </c>
      <c r="E71" s="113">
        <f>SUM(E72:E73)</f>
        <v>7498</v>
      </c>
      <c r="F71" s="113">
        <f t="shared" ref="F71:F76" si="27">E71/D71*100</f>
        <v>100.91520861372814</v>
      </c>
      <c r="G71" s="596">
        <f>SUM(G72:G73)</f>
        <v>15344.157569999999</v>
      </c>
      <c r="H71" s="596">
        <f>SUM(H72:H73)</f>
        <v>10229.44</v>
      </c>
      <c r="I71" s="596">
        <f>SUM(I72:I73)</f>
        <v>9902.3368799999989</v>
      </c>
      <c r="J71" s="113">
        <f t="shared" ref="J71:J77" si="28">I71/H71*100</f>
        <v>96.802336002752824</v>
      </c>
      <c r="K71" s="105"/>
    </row>
    <row r="72" spans="1:12" ht="29.25" customHeight="1" x14ac:dyDescent="0.25">
      <c r="A72" s="35">
        <v>1</v>
      </c>
      <c r="B72" s="71" t="s">
        <v>79</v>
      </c>
      <c r="C72" s="113">
        <v>8572</v>
      </c>
      <c r="D72" s="107">
        <f>ROUND(C72/12*$B$3,0)</f>
        <v>5715</v>
      </c>
      <c r="E72" s="113">
        <v>5739</v>
      </c>
      <c r="F72" s="113">
        <f t="shared" si="27"/>
        <v>100.4199475065617</v>
      </c>
      <c r="G72" s="596">
        <v>11435.6788</v>
      </c>
      <c r="H72" s="596">
        <f t="shared" ref="H72:H73" si="29">ROUND(G72/12*$B$3,2)</f>
        <v>7623.79</v>
      </c>
      <c r="I72" s="596">
        <v>7202.3932499999992</v>
      </c>
      <c r="J72" s="113">
        <f t="shared" si="28"/>
        <v>94.472608112238134</v>
      </c>
      <c r="K72" s="105"/>
    </row>
    <row r="73" spans="1:12" ht="30" x14ac:dyDescent="0.25">
      <c r="A73" s="35">
        <v>1</v>
      </c>
      <c r="B73" s="71" t="s">
        <v>80</v>
      </c>
      <c r="C73" s="174">
        <v>2572</v>
      </c>
      <c r="D73" s="300">
        <f>ROUND(C73/12*$B$3,0)</f>
        <v>1715</v>
      </c>
      <c r="E73" s="174">
        <v>1759</v>
      </c>
      <c r="F73" s="174">
        <f t="shared" si="27"/>
        <v>102.56559766763849</v>
      </c>
      <c r="G73" s="596">
        <v>3908.4787700000002</v>
      </c>
      <c r="H73" s="596">
        <f t="shared" si="29"/>
        <v>2605.65</v>
      </c>
      <c r="I73" s="596">
        <v>2699.9436299999998</v>
      </c>
      <c r="J73" s="174">
        <f t="shared" si="28"/>
        <v>103.61881411547982</v>
      </c>
      <c r="K73" s="105"/>
    </row>
    <row r="74" spans="1:12" ht="30" x14ac:dyDescent="0.25">
      <c r="A74" s="35">
        <v>1</v>
      </c>
      <c r="B74" s="198" t="s">
        <v>112</v>
      </c>
      <c r="C74" s="113">
        <f>SUM(C75)</f>
        <v>960</v>
      </c>
      <c r="D74" s="113">
        <f t="shared" ref="D74:I74" si="30">SUM(D75)</f>
        <v>640</v>
      </c>
      <c r="E74" s="113">
        <f t="shared" si="30"/>
        <v>643</v>
      </c>
      <c r="F74" s="113">
        <f t="shared" si="27"/>
        <v>100.46875</v>
      </c>
      <c r="G74" s="596">
        <f t="shared" si="30"/>
        <v>1696.4159999999999</v>
      </c>
      <c r="H74" s="596">
        <f t="shared" si="30"/>
        <v>1130.94</v>
      </c>
      <c r="I74" s="596">
        <f t="shared" si="30"/>
        <v>1125.3209200000001</v>
      </c>
      <c r="J74" s="174">
        <f t="shared" si="28"/>
        <v>99.503149592374498</v>
      </c>
      <c r="K74" s="105"/>
    </row>
    <row r="75" spans="1:12" ht="30" x14ac:dyDescent="0.25">
      <c r="A75" s="35">
        <v>1</v>
      </c>
      <c r="B75" s="286" t="s">
        <v>108</v>
      </c>
      <c r="C75" s="318">
        <v>960</v>
      </c>
      <c r="D75" s="620">
        <f>ROUND(C75/12*$B$3,0)</f>
        <v>640</v>
      </c>
      <c r="E75" s="318">
        <v>643</v>
      </c>
      <c r="F75" s="621">
        <f t="shared" si="27"/>
        <v>100.46875</v>
      </c>
      <c r="G75" s="596">
        <f>1696416/1000</f>
        <v>1696.4159999999999</v>
      </c>
      <c r="H75" s="596">
        <f t="shared" ref="H75:H76" si="31">ROUND(G75/12*$B$3,2)</f>
        <v>1130.94</v>
      </c>
      <c r="I75" s="596">
        <v>1125.3209200000001</v>
      </c>
      <c r="J75" s="174">
        <f t="shared" si="28"/>
        <v>99.503149592374498</v>
      </c>
      <c r="K75" s="105"/>
    </row>
    <row r="76" spans="1:12" ht="30.75" thickBot="1" x14ac:dyDescent="0.3">
      <c r="A76" s="35">
        <v>1</v>
      </c>
      <c r="B76" s="116" t="s">
        <v>123</v>
      </c>
      <c r="C76" s="174">
        <v>12978</v>
      </c>
      <c r="D76" s="300">
        <f>ROUND(C76/12*$B$3,0)</f>
        <v>8652</v>
      </c>
      <c r="E76" s="174">
        <v>8830</v>
      </c>
      <c r="F76" s="174">
        <f t="shared" si="27"/>
        <v>102.05732778548312</v>
      </c>
      <c r="G76" s="596">
        <v>10525.41756</v>
      </c>
      <c r="H76" s="596">
        <f t="shared" si="31"/>
        <v>7016.95</v>
      </c>
      <c r="I76" s="596">
        <v>7161.3065999999999</v>
      </c>
      <c r="J76" s="174">
        <f>I76/H76*100</f>
        <v>102.05725564525898</v>
      </c>
      <c r="K76" s="105"/>
    </row>
    <row r="77" spans="1:12" ht="15" customHeight="1" thickBot="1" x14ac:dyDescent="0.3">
      <c r="A77" s="35">
        <v>1</v>
      </c>
      <c r="B77" s="111" t="s">
        <v>3</v>
      </c>
      <c r="C77" s="622"/>
      <c r="D77" s="609"/>
      <c r="E77" s="609"/>
      <c r="F77" s="610"/>
      <c r="G77" s="611">
        <f>G74+G71+G76</f>
        <v>27565.991130000002</v>
      </c>
      <c r="H77" s="611">
        <f>H74+H71+H76</f>
        <v>18377.330000000002</v>
      </c>
      <c r="I77" s="611">
        <f>I74+I71+I76</f>
        <v>18188.964399999997</v>
      </c>
      <c r="J77" s="615">
        <f t="shared" si="28"/>
        <v>98.975011059822052</v>
      </c>
      <c r="K77" s="105"/>
    </row>
    <row r="78" spans="1:12" x14ac:dyDescent="0.25">
      <c r="A78" s="35">
        <v>1</v>
      </c>
      <c r="B78" s="30"/>
      <c r="C78" s="143"/>
      <c r="D78" s="143"/>
      <c r="E78" s="143"/>
      <c r="F78" s="142"/>
      <c r="G78" s="353"/>
      <c r="H78" s="353"/>
      <c r="I78" s="353"/>
      <c r="J78" s="143"/>
      <c r="K78" s="105"/>
    </row>
    <row r="79" spans="1:12" ht="29.25" x14ac:dyDescent="0.25">
      <c r="A79" s="35">
        <v>1</v>
      </c>
      <c r="B79" s="73" t="s">
        <v>65</v>
      </c>
      <c r="C79" s="121"/>
      <c r="D79" s="121"/>
      <c r="E79" s="121"/>
      <c r="F79" s="118"/>
      <c r="G79" s="354"/>
      <c r="H79" s="354"/>
      <c r="I79" s="354"/>
      <c r="J79" s="121"/>
      <c r="K79" s="105"/>
    </row>
    <row r="80" spans="1:12" ht="30" x14ac:dyDescent="0.25">
      <c r="A80" s="35">
        <v>1</v>
      </c>
      <c r="B80" s="198" t="s">
        <v>120</v>
      </c>
      <c r="C80" s="113">
        <f>SUM(C81:C82)</f>
        <v>15513</v>
      </c>
      <c r="D80" s="113">
        <f>SUM(D81:D82)</f>
        <v>10342</v>
      </c>
      <c r="E80" s="113">
        <f>SUM(E81:E82)</f>
        <v>9864</v>
      </c>
      <c r="F80" s="113">
        <f t="shared" ref="F80:F85" si="32">E80/D80*100</f>
        <v>95.37807000580159</v>
      </c>
      <c r="G80" s="596">
        <f>SUM(G81:G82)</f>
        <v>22055.219560000001</v>
      </c>
      <c r="H80" s="596">
        <f>SUM(H81:H82)</f>
        <v>14703.48</v>
      </c>
      <c r="I80" s="596">
        <f>SUM(I81:I82)</f>
        <v>13838.950470000002</v>
      </c>
      <c r="J80" s="115">
        <f t="shared" ref="J80:J99" si="33">I80/H80*100</f>
        <v>94.120238678190475</v>
      </c>
      <c r="K80" s="105"/>
    </row>
    <row r="81" spans="1:11" ht="30" x14ac:dyDescent="0.25">
      <c r="A81" s="35">
        <v>1</v>
      </c>
      <c r="B81" s="71" t="s">
        <v>79</v>
      </c>
      <c r="C81" s="113">
        <v>11933</v>
      </c>
      <c r="D81" s="107">
        <f>ROUND(C81/12*$B$3,0)</f>
        <v>7955</v>
      </c>
      <c r="E81" s="113">
        <v>7787</v>
      </c>
      <c r="F81" s="113">
        <f t="shared" si="32"/>
        <v>97.888120678818353</v>
      </c>
      <c r="G81" s="596">
        <v>16478.485800000002</v>
      </c>
      <c r="H81" s="596">
        <f t="shared" ref="H81:H82" si="34">ROUND(G81/12*$B$3,2)</f>
        <v>10985.66</v>
      </c>
      <c r="I81" s="596">
        <v>10663.598320000001</v>
      </c>
      <c r="J81" s="115">
        <f t="shared" si="33"/>
        <v>97.068344733042906</v>
      </c>
      <c r="K81" s="105"/>
    </row>
    <row r="82" spans="1:11" ht="30" x14ac:dyDescent="0.25">
      <c r="A82" s="35">
        <v>1</v>
      </c>
      <c r="B82" s="71" t="s">
        <v>80</v>
      </c>
      <c r="C82" s="113">
        <v>3580</v>
      </c>
      <c r="D82" s="107">
        <f>ROUND(C82/12*$B$3,0)</f>
        <v>2387</v>
      </c>
      <c r="E82" s="113">
        <v>2077</v>
      </c>
      <c r="F82" s="174">
        <f t="shared" si="32"/>
        <v>87.012987012987011</v>
      </c>
      <c r="G82" s="596">
        <v>5576.7337600000001</v>
      </c>
      <c r="H82" s="596">
        <f t="shared" si="34"/>
        <v>3717.82</v>
      </c>
      <c r="I82" s="596">
        <v>3175.3521500000002</v>
      </c>
      <c r="J82" s="115">
        <f t="shared" si="33"/>
        <v>85.408980262627026</v>
      </c>
      <c r="K82" s="105"/>
    </row>
    <row r="83" spans="1:11" ht="30" x14ac:dyDescent="0.25">
      <c r="A83" s="35">
        <v>1</v>
      </c>
      <c r="B83" s="198" t="s">
        <v>112</v>
      </c>
      <c r="C83" s="113">
        <f>SUM(C84)</f>
        <v>1800</v>
      </c>
      <c r="D83" s="113">
        <f t="shared" ref="D83:I83" si="35">SUM(D84)</f>
        <v>1200</v>
      </c>
      <c r="E83" s="113">
        <f t="shared" si="35"/>
        <v>1157</v>
      </c>
      <c r="F83" s="174">
        <f t="shared" si="32"/>
        <v>96.416666666666657</v>
      </c>
      <c r="G83" s="596">
        <f t="shared" si="35"/>
        <v>3180.78</v>
      </c>
      <c r="H83" s="596">
        <f t="shared" si="35"/>
        <v>2120.52</v>
      </c>
      <c r="I83" s="596">
        <f t="shared" si="35"/>
        <v>2060.48362</v>
      </c>
      <c r="J83" s="115">
        <f t="shared" si="33"/>
        <v>97.168789730820734</v>
      </c>
      <c r="K83" s="105"/>
    </row>
    <row r="84" spans="1:11" ht="30" x14ac:dyDescent="0.25">
      <c r="A84" s="35">
        <v>1</v>
      </c>
      <c r="B84" s="286" t="s">
        <v>108</v>
      </c>
      <c r="C84" s="174">
        <v>1800</v>
      </c>
      <c r="D84" s="300">
        <f>ROUND(C84/12*$B$3,0)</f>
        <v>1200</v>
      </c>
      <c r="E84" s="320">
        <v>1157</v>
      </c>
      <c r="F84" s="174">
        <f t="shared" si="32"/>
        <v>96.416666666666657</v>
      </c>
      <c r="G84" s="596">
        <f>3180780/1000</f>
        <v>3180.78</v>
      </c>
      <c r="H84" s="596">
        <f t="shared" ref="H84:H85" si="36">ROUND(G84/12*$B$3,2)</f>
        <v>2120.52</v>
      </c>
      <c r="I84" s="596">
        <v>2060.48362</v>
      </c>
      <c r="J84" s="599">
        <f t="shared" si="33"/>
        <v>97.168789730820734</v>
      </c>
      <c r="K84" s="105"/>
    </row>
    <row r="85" spans="1:11" ht="30.75" thickBot="1" x14ac:dyDescent="0.3">
      <c r="A85" s="35">
        <v>1</v>
      </c>
      <c r="B85" s="116" t="s">
        <v>123</v>
      </c>
      <c r="C85" s="113">
        <v>19927</v>
      </c>
      <c r="D85" s="107">
        <f>ROUND(C85/12*$B$3,0)</f>
        <v>13285</v>
      </c>
      <c r="E85" s="113">
        <v>13232</v>
      </c>
      <c r="F85" s="174">
        <f t="shared" si="32"/>
        <v>99.601053820097846</v>
      </c>
      <c r="G85" s="596">
        <v>16161.195539999999</v>
      </c>
      <c r="H85" s="596">
        <f t="shared" si="36"/>
        <v>10774.13</v>
      </c>
      <c r="I85" s="596">
        <v>10724.03052</v>
      </c>
      <c r="J85" s="115">
        <f>I85/H85*100</f>
        <v>99.535002083694934</v>
      </c>
      <c r="K85" s="105"/>
    </row>
    <row r="86" spans="1:11" ht="15" customHeight="1" thickBot="1" x14ac:dyDescent="0.3">
      <c r="A86" s="35">
        <v>1</v>
      </c>
      <c r="B86" s="111" t="s">
        <v>3</v>
      </c>
      <c r="C86" s="426"/>
      <c r="D86" s="426"/>
      <c r="E86" s="426"/>
      <c r="F86" s="614"/>
      <c r="G86" s="623">
        <f>G83+G80+G85</f>
        <v>41397.195099999997</v>
      </c>
      <c r="H86" s="623">
        <f>H83+H80+H85</f>
        <v>27598.129999999997</v>
      </c>
      <c r="I86" s="623">
        <f>I83+I80+I85</f>
        <v>26623.464610000003</v>
      </c>
      <c r="J86" s="615">
        <f t="shared" si="33"/>
        <v>96.468364378311151</v>
      </c>
      <c r="K86" s="105"/>
    </row>
    <row r="87" spans="1:11" x14ac:dyDescent="0.25">
      <c r="A87" s="35">
        <v>1</v>
      </c>
      <c r="B87" s="30"/>
      <c r="C87" s="142"/>
      <c r="D87" s="142"/>
      <c r="E87" s="142"/>
      <c r="F87" s="142"/>
      <c r="G87" s="353"/>
      <c r="H87" s="353"/>
      <c r="I87" s="353"/>
      <c r="J87" s="143"/>
      <c r="K87" s="105"/>
    </row>
    <row r="88" spans="1:11" ht="29.25" x14ac:dyDescent="0.25">
      <c r="A88" s="35">
        <v>1</v>
      </c>
      <c r="B88" s="26" t="s">
        <v>66</v>
      </c>
      <c r="C88" s="118"/>
      <c r="D88" s="118"/>
      <c r="E88" s="118"/>
      <c r="F88" s="118"/>
      <c r="G88" s="596"/>
      <c r="H88" s="596"/>
      <c r="I88" s="596"/>
      <c r="J88" s="115"/>
      <c r="K88" s="105"/>
    </row>
    <row r="89" spans="1:11" ht="30" x14ac:dyDescent="0.25">
      <c r="A89" s="35">
        <v>1</v>
      </c>
      <c r="B89" s="198" t="s">
        <v>120</v>
      </c>
      <c r="C89" s="113">
        <f>SUM(C90:C93)</f>
        <v>7431</v>
      </c>
      <c r="D89" s="113">
        <f>SUM(D90:D93)</f>
        <v>4954</v>
      </c>
      <c r="E89" s="113">
        <f>SUM(E90:E93)</f>
        <v>5515</v>
      </c>
      <c r="F89" s="625">
        <f t="shared" ref="F89:F97" si="37">E89/D89*100</f>
        <v>111.324182478805</v>
      </c>
      <c r="G89" s="596">
        <f>SUM(G90:G93)</f>
        <v>11223.49158</v>
      </c>
      <c r="H89" s="596">
        <f>SUM(H90:H93)</f>
        <v>7482.329999999999</v>
      </c>
      <c r="I89" s="596">
        <f>SUM(I90:I93)</f>
        <v>8417.5278900000012</v>
      </c>
      <c r="J89" s="113">
        <f t="shared" si="33"/>
        <v>112.49875226032535</v>
      </c>
      <c r="K89" s="105"/>
    </row>
    <row r="90" spans="1:11" ht="29.25" customHeight="1" x14ac:dyDescent="0.25">
      <c r="A90" s="35">
        <v>1</v>
      </c>
      <c r="B90" s="71" t="s">
        <v>79</v>
      </c>
      <c r="C90" s="113">
        <v>5594</v>
      </c>
      <c r="D90" s="107">
        <f t="shared" ref="D90:D97" si="38">ROUND(C90/12*$B$3,0)</f>
        <v>3729</v>
      </c>
      <c r="E90" s="107">
        <v>4098</v>
      </c>
      <c r="F90" s="625">
        <f t="shared" si="37"/>
        <v>109.89541432019307</v>
      </c>
      <c r="G90" s="596">
        <v>7756.0923999999995</v>
      </c>
      <c r="H90" s="596">
        <f t="shared" ref="H90:H93" si="39">ROUND(G90/12*$B$3,2)</f>
        <v>5170.7299999999996</v>
      </c>
      <c r="I90" s="596">
        <v>5600.7891600000003</v>
      </c>
      <c r="J90" s="113">
        <f t="shared" si="33"/>
        <v>108.31718461416474</v>
      </c>
      <c r="K90" s="105"/>
    </row>
    <row r="91" spans="1:11" ht="26.25" customHeight="1" x14ac:dyDescent="0.25">
      <c r="A91" s="35">
        <v>1</v>
      </c>
      <c r="B91" s="71" t="s">
        <v>80</v>
      </c>
      <c r="C91" s="113">
        <v>1678</v>
      </c>
      <c r="D91" s="107">
        <f t="shared" si="38"/>
        <v>1119</v>
      </c>
      <c r="E91" s="107">
        <v>1259</v>
      </c>
      <c r="F91" s="625">
        <f t="shared" si="37"/>
        <v>112.51117068811438</v>
      </c>
      <c r="G91" s="596">
        <v>2597.9235800000001</v>
      </c>
      <c r="H91" s="596">
        <f t="shared" si="39"/>
        <v>1731.95</v>
      </c>
      <c r="I91" s="596">
        <v>1971.3240900000001</v>
      </c>
      <c r="J91" s="113">
        <f t="shared" si="33"/>
        <v>113.82107393400503</v>
      </c>
      <c r="K91" s="105"/>
    </row>
    <row r="92" spans="1:11" ht="27.75" customHeight="1" x14ac:dyDescent="0.25">
      <c r="A92" s="35">
        <v>1</v>
      </c>
      <c r="B92" s="71" t="s">
        <v>114</v>
      </c>
      <c r="C92" s="113">
        <v>115</v>
      </c>
      <c r="D92" s="107">
        <f t="shared" si="38"/>
        <v>77</v>
      </c>
      <c r="E92" s="107">
        <v>114</v>
      </c>
      <c r="F92" s="625">
        <f t="shared" si="37"/>
        <v>148.05194805194805</v>
      </c>
      <c r="G92" s="596">
        <v>628.86599999999999</v>
      </c>
      <c r="H92" s="596">
        <f t="shared" si="39"/>
        <v>419.24</v>
      </c>
      <c r="I92" s="596">
        <v>606.99239999999998</v>
      </c>
      <c r="J92" s="113">
        <f t="shared" si="33"/>
        <v>144.78399007728268</v>
      </c>
      <c r="K92" s="105"/>
    </row>
    <row r="93" spans="1:11" ht="27.75" customHeight="1" x14ac:dyDescent="0.25">
      <c r="A93" s="35">
        <v>1</v>
      </c>
      <c r="B93" s="71" t="s">
        <v>115</v>
      </c>
      <c r="C93" s="113">
        <v>44</v>
      </c>
      <c r="D93" s="107">
        <f t="shared" si="38"/>
        <v>29</v>
      </c>
      <c r="E93" s="107">
        <v>44</v>
      </c>
      <c r="F93" s="625">
        <f t="shared" si="37"/>
        <v>151.72413793103448</v>
      </c>
      <c r="G93" s="596">
        <v>240.60959999999997</v>
      </c>
      <c r="H93" s="596">
        <f t="shared" si="39"/>
        <v>160.41</v>
      </c>
      <c r="I93" s="596">
        <v>238.42224000000002</v>
      </c>
      <c r="J93" s="113">
        <f t="shared" si="33"/>
        <v>148.63302786609316</v>
      </c>
      <c r="K93" s="105"/>
    </row>
    <row r="94" spans="1:11" ht="45.75" customHeight="1" x14ac:dyDescent="0.25">
      <c r="A94" s="35">
        <v>1</v>
      </c>
      <c r="B94" s="227" t="s">
        <v>112</v>
      </c>
      <c r="C94" s="113">
        <f>SUM(C95:C97)</f>
        <v>7029</v>
      </c>
      <c r="D94" s="113">
        <f>SUM(D95:D97)</f>
        <v>4686</v>
      </c>
      <c r="E94" s="113">
        <f>SUM(E95:E97)</f>
        <v>3944</v>
      </c>
      <c r="F94" s="625">
        <f t="shared" si="37"/>
        <v>84.165599658557397</v>
      </c>
      <c r="G94" s="596">
        <f>SUM(G95:G97)</f>
        <v>12477.544699999999</v>
      </c>
      <c r="H94" s="596">
        <f>SUM(H95:H97)</f>
        <v>8318.36</v>
      </c>
      <c r="I94" s="596">
        <f>SUM(I95:I97)</f>
        <v>7123.5621700000002</v>
      </c>
      <c r="J94" s="113">
        <f t="shared" si="33"/>
        <v>85.636617915069792</v>
      </c>
      <c r="K94" s="105"/>
    </row>
    <row r="95" spans="1:11" ht="30" x14ac:dyDescent="0.25">
      <c r="A95" s="35">
        <v>1</v>
      </c>
      <c r="B95" s="71" t="s">
        <v>108</v>
      </c>
      <c r="C95" s="113">
        <v>700</v>
      </c>
      <c r="D95" s="107">
        <f t="shared" si="38"/>
        <v>467</v>
      </c>
      <c r="E95" s="113">
        <v>455</v>
      </c>
      <c r="F95" s="625">
        <f t="shared" si="37"/>
        <v>97.430406852248396</v>
      </c>
      <c r="G95" s="596">
        <f>1236970/1000</f>
        <v>1236.97</v>
      </c>
      <c r="H95" s="596">
        <f t="shared" ref="H95:H98" si="40">ROUND(G95/12*$B$3,2)</f>
        <v>824.65</v>
      </c>
      <c r="I95" s="596">
        <v>814.26124000000004</v>
      </c>
      <c r="J95" s="113">
        <f t="shared" si="33"/>
        <v>98.740221912326447</v>
      </c>
      <c r="K95" s="105"/>
    </row>
    <row r="96" spans="1:11" ht="57" customHeight="1" x14ac:dyDescent="0.25">
      <c r="A96" s="35">
        <v>1</v>
      </c>
      <c r="B96" s="71" t="s">
        <v>118</v>
      </c>
      <c r="C96" s="113">
        <v>4109</v>
      </c>
      <c r="D96" s="107">
        <f t="shared" si="38"/>
        <v>2739</v>
      </c>
      <c r="E96" s="107">
        <v>2378</v>
      </c>
      <c r="F96" s="625">
        <f t="shared" si="37"/>
        <v>86.820007301935007</v>
      </c>
      <c r="G96" s="596">
        <f>9427278.7/1000</f>
        <v>9427.2786999999989</v>
      </c>
      <c r="H96" s="596">
        <f t="shared" si="40"/>
        <v>6284.85</v>
      </c>
      <c r="I96" s="596">
        <v>5356.1072300000005</v>
      </c>
      <c r="J96" s="113">
        <f t="shared" si="33"/>
        <v>85.222514936712884</v>
      </c>
      <c r="K96" s="105"/>
    </row>
    <row r="97" spans="1:12" ht="43.5" customHeight="1" x14ac:dyDescent="0.25">
      <c r="A97" s="35">
        <v>1</v>
      </c>
      <c r="B97" s="71" t="s">
        <v>109</v>
      </c>
      <c r="C97" s="113">
        <v>2220</v>
      </c>
      <c r="D97" s="107">
        <f t="shared" si="38"/>
        <v>1480</v>
      </c>
      <c r="E97" s="107">
        <v>1111</v>
      </c>
      <c r="F97" s="625">
        <f t="shared" si="37"/>
        <v>75.067567567567579</v>
      </c>
      <c r="G97" s="596">
        <f>1813296/1000</f>
        <v>1813.296</v>
      </c>
      <c r="H97" s="596">
        <f t="shared" si="40"/>
        <v>1208.8599999999999</v>
      </c>
      <c r="I97" s="596">
        <v>953.19369999999992</v>
      </c>
      <c r="J97" s="113">
        <f t="shared" si="33"/>
        <v>78.850627864268816</v>
      </c>
      <c r="K97" s="105"/>
    </row>
    <row r="98" spans="1:12" ht="30" customHeight="1" thickBot="1" x14ac:dyDescent="0.3">
      <c r="A98" s="35">
        <v>1</v>
      </c>
      <c r="B98" s="116" t="s">
        <v>123</v>
      </c>
      <c r="C98" s="113">
        <v>17404</v>
      </c>
      <c r="D98" s="107">
        <f>ROUND(C98/12*$B$3,0)</f>
        <v>11603</v>
      </c>
      <c r="E98" s="107">
        <v>11844</v>
      </c>
      <c r="F98" s="625">
        <f>E98/D98*100</f>
        <v>102.07704903904163</v>
      </c>
      <c r="G98" s="596">
        <v>14114.99208</v>
      </c>
      <c r="H98" s="596">
        <f t="shared" si="40"/>
        <v>9409.99</v>
      </c>
      <c r="I98" s="596">
        <v>9564.8336399999989</v>
      </c>
      <c r="J98" s="599">
        <f>I98/H98*100</f>
        <v>101.64552395911153</v>
      </c>
      <c r="K98" s="105"/>
    </row>
    <row r="99" spans="1:12" s="33" customFormat="1" ht="15.75" thickBot="1" x14ac:dyDescent="0.3">
      <c r="A99" s="35">
        <v>1</v>
      </c>
      <c r="B99" s="119" t="s">
        <v>3</v>
      </c>
      <c r="C99" s="426"/>
      <c r="D99" s="426"/>
      <c r="E99" s="426"/>
      <c r="F99" s="626"/>
      <c r="G99" s="623">
        <f>G94+G89+G98</f>
        <v>37816.028359999997</v>
      </c>
      <c r="H99" s="623">
        <f>H94+H89+H98</f>
        <v>25210.68</v>
      </c>
      <c r="I99" s="623">
        <f>I94+I89+I98</f>
        <v>25105.923699999999</v>
      </c>
      <c r="J99" s="615">
        <f t="shared" si="33"/>
        <v>99.584476499642221</v>
      </c>
      <c r="K99" s="105"/>
      <c r="L99" s="723"/>
    </row>
    <row r="100" spans="1:12" ht="15" customHeight="1" x14ac:dyDescent="0.25">
      <c r="A100" s="35">
        <v>1</v>
      </c>
      <c r="B100" s="30"/>
      <c r="C100" s="143"/>
      <c r="D100" s="143"/>
      <c r="E100" s="143"/>
      <c r="F100" s="142"/>
      <c r="G100" s="353"/>
      <c r="H100" s="353"/>
      <c r="I100" s="353"/>
      <c r="J100" s="143"/>
      <c r="K100" s="105"/>
    </row>
    <row r="101" spans="1:12" ht="29.25" x14ac:dyDescent="0.25">
      <c r="A101" s="35">
        <v>1</v>
      </c>
      <c r="B101" s="26" t="s">
        <v>67</v>
      </c>
      <c r="C101" s="121"/>
      <c r="D101" s="121"/>
      <c r="E101" s="121"/>
      <c r="F101" s="118"/>
      <c r="G101" s="354"/>
      <c r="H101" s="354"/>
      <c r="I101" s="349"/>
      <c r="J101" s="121"/>
      <c r="K101" s="105"/>
    </row>
    <row r="102" spans="1:12" ht="42" customHeight="1" x14ac:dyDescent="0.25">
      <c r="A102" s="35">
        <v>1</v>
      </c>
      <c r="B102" s="198" t="s">
        <v>120</v>
      </c>
      <c r="C102" s="113">
        <f>SUM(C103:C106)</f>
        <v>5469</v>
      </c>
      <c r="D102" s="107">
        <f>SUM(D103:D106)</f>
        <v>3646</v>
      </c>
      <c r="E102" s="113">
        <f>SUM(E103:E106)</f>
        <v>3758</v>
      </c>
      <c r="F102" s="113">
        <f t="shared" ref="F102:F110" si="41">E102/D102*100</f>
        <v>103.07185957213385</v>
      </c>
      <c r="G102" s="596">
        <f>SUM(G103:G106)</f>
        <v>7993.9445299999998</v>
      </c>
      <c r="H102" s="596">
        <f>SUM(H103:H106)</f>
        <v>5329.2900000000009</v>
      </c>
      <c r="I102" s="596">
        <f>SUM(I103:I106)</f>
        <v>5471.2019199999995</v>
      </c>
      <c r="J102" s="113">
        <f t="shared" ref="J102:J112" si="42">I102/H102*100</f>
        <v>102.66286728626137</v>
      </c>
      <c r="K102" s="105"/>
    </row>
    <row r="103" spans="1:12" ht="35.25" customHeight="1" x14ac:dyDescent="0.25">
      <c r="A103" s="35">
        <v>1</v>
      </c>
      <c r="B103" s="71" t="s">
        <v>79</v>
      </c>
      <c r="C103" s="113">
        <v>4104</v>
      </c>
      <c r="D103" s="107">
        <f t="shared" ref="D103:D110" si="43">ROUND(C103/12*$B$3,0)</f>
        <v>2736</v>
      </c>
      <c r="E103" s="113">
        <v>2833</v>
      </c>
      <c r="F103" s="113">
        <f t="shared" si="41"/>
        <v>103.54532163742689</v>
      </c>
      <c r="G103" s="596">
        <v>5420.0132000000003</v>
      </c>
      <c r="H103" s="596">
        <f t="shared" ref="H103:H106" si="44">ROUND(G103/12*$B$3,2)</f>
        <v>3613.34</v>
      </c>
      <c r="I103" s="596">
        <v>3609.3293599999997</v>
      </c>
      <c r="J103" s="113">
        <f t="shared" si="42"/>
        <v>99.889004632832766</v>
      </c>
      <c r="K103" s="105"/>
    </row>
    <row r="104" spans="1:12" ht="31.5" customHeight="1" x14ac:dyDescent="0.25">
      <c r="A104" s="35">
        <v>1</v>
      </c>
      <c r="B104" s="71" t="s">
        <v>80</v>
      </c>
      <c r="C104" s="113">
        <v>1231</v>
      </c>
      <c r="D104" s="107">
        <f t="shared" si="43"/>
        <v>821</v>
      </c>
      <c r="E104" s="113">
        <v>805</v>
      </c>
      <c r="F104" s="113">
        <f t="shared" si="41"/>
        <v>98.051157125456754</v>
      </c>
      <c r="G104" s="596">
        <v>1841.1657299999999</v>
      </c>
      <c r="H104" s="596">
        <f t="shared" si="44"/>
        <v>1227.44</v>
      </c>
      <c r="I104" s="596">
        <v>1207.8519199999998</v>
      </c>
      <c r="J104" s="113">
        <f t="shared" si="42"/>
        <v>98.404151730430797</v>
      </c>
      <c r="K104" s="105"/>
    </row>
    <row r="105" spans="1:12" ht="28.5" customHeight="1" x14ac:dyDescent="0.25">
      <c r="A105" s="35">
        <v>1</v>
      </c>
      <c r="B105" s="71" t="s">
        <v>114</v>
      </c>
      <c r="C105" s="113">
        <v>90</v>
      </c>
      <c r="D105" s="107">
        <f t="shared" si="43"/>
        <v>60</v>
      </c>
      <c r="E105" s="113">
        <v>77</v>
      </c>
      <c r="F105" s="113">
        <f t="shared" si="41"/>
        <v>128.33333333333334</v>
      </c>
      <c r="G105" s="596">
        <v>492.15599999999995</v>
      </c>
      <c r="H105" s="596">
        <f t="shared" si="44"/>
        <v>328.1</v>
      </c>
      <c r="I105" s="596">
        <v>418.87943999999999</v>
      </c>
      <c r="J105" s="113">
        <f t="shared" si="42"/>
        <v>127.66822310271257</v>
      </c>
      <c r="K105" s="105"/>
    </row>
    <row r="106" spans="1:12" ht="27.75" customHeight="1" x14ac:dyDescent="0.25">
      <c r="A106" s="35">
        <v>1</v>
      </c>
      <c r="B106" s="71" t="s">
        <v>115</v>
      </c>
      <c r="C106" s="113">
        <v>44</v>
      </c>
      <c r="D106" s="107">
        <f t="shared" si="43"/>
        <v>29</v>
      </c>
      <c r="E106" s="113">
        <v>43</v>
      </c>
      <c r="F106" s="113">
        <f t="shared" si="41"/>
        <v>148.27586206896552</v>
      </c>
      <c r="G106" s="596">
        <v>240.60959999999997</v>
      </c>
      <c r="H106" s="596">
        <f t="shared" si="44"/>
        <v>160.41</v>
      </c>
      <c r="I106" s="596">
        <v>235.1412</v>
      </c>
      <c r="J106" s="113">
        <f t="shared" si="42"/>
        <v>146.58761922573407</v>
      </c>
      <c r="K106" s="105"/>
    </row>
    <row r="107" spans="1:12" ht="43.5" customHeight="1" x14ac:dyDescent="0.25">
      <c r="A107" s="35">
        <v>1</v>
      </c>
      <c r="B107" s="227" t="s">
        <v>112</v>
      </c>
      <c r="C107" s="113">
        <f>SUM(C108:C110)</f>
        <v>7090</v>
      </c>
      <c r="D107" s="113">
        <f>SUM(D108:D110)</f>
        <v>4727</v>
      </c>
      <c r="E107" s="113">
        <f>SUM(E108:E110)</f>
        <v>4806</v>
      </c>
      <c r="F107" s="113">
        <f t="shared" si="41"/>
        <v>101.67125026443833</v>
      </c>
      <c r="G107" s="596">
        <f>SUM(G108:G110)</f>
        <v>13724.020400000001</v>
      </c>
      <c r="H107" s="596">
        <f>SUM(H108:H110)</f>
        <v>9149.34</v>
      </c>
      <c r="I107" s="596">
        <f>SUM(I108:I110)</f>
        <v>9753.7315400000007</v>
      </c>
      <c r="J107" s="113">
        <f t="shared" si="42"/>
        <v>106.60584850929138</v>
      </c>
      <c r="K107" s="105"/>
    </row>
    <row r="108" spans="1:12" ht="43.5" customHeight="1" x14ac:dyDescent="0.25">
      <c r="A108" s="35">
        <v>1</v>
      </c>
      <c r="B108" s="71" t="s">
        <v>108</v>
      </c>
      <c r="C108" s="113">
        <v>3528</v>
      </c>
      <c r="D108" s="107">
        <f t="shared" si="43"/>
        <v>2352</v>
      </c>
      <c r="E108" s="113">
        <v>2341</v>
      </c>
      <c r="F108" s="113">
        <f t="shared" si="41"/>
        <v>99.532312925170061</v>
      </c>
      <c r="G108" s="596">
        <f>6234328.8/1000</f>
        <v>6234.3288000000002</v>
      </c>
      <c r="H108" s="596">
        <f t="shared" ref="H108:H111" si="45">ROUND(G108/12*$B$3,2)</f>
        <v>4156.22</v>
      </c>
      <c r="I108" s="596">
        <v>4150.1724400000003</v>
      </c>
      <c r="J108" s="113">
        <f t="shared" si="42"/>
        <v>99.854493746721786</v>
      </c>
      <c r="K108" s="105"/>
    </row>
    <row r="109" spans="1:12" ht="59.25" customHeight="1" x14ac:dyDescent="0.25">
      <c r="A109" s="35">
        <v>1</v>
      </c>
      <c r="B109" s="71" t="s">
        <v>118</v>
      </c>
      <c r="C109" s="113">
        <v>3100</v>
      </c>
      <c r="D109" s="107">
        <f t="shared" si="43"/>
        <v>2067</v>
      </c>
      <c r="E109" s="113">
        <v>2065</v>
      </c>
      <c r="F109" s="113">
        <f t="shared" si="41"/>
        <v>99.903241412675371</v>
      </c>
      <c r="G109" s="596">
        <f>7112330/1000</f>
        <v>7112.33</v>
      </c>
      <c r="H109" s="596">
        <f t="shared" si="45"/>
        <v>4741.55</v>
      </c>
      <c r="I109" s="596">
        <v>5213.1424399999996</v>
      </c>
      <c r="J109" s="113">
        <f t="shared" si="42"/>
        <v>109.94595522561185</v>
      </c>
      <c r="K109" s="105"/>
    </row>
    <row r="110" spans="1:12" ht="45" x14ac:dyDescent="0.25">
      <c r="A110" s="35">
        <v>1</v>
      </c>
      <c r="B110" s="71" t="s">
        <v>109</v>
      </c>
      <c r="C110" s="113">
        <v>462</v>
      </c>
      <c r="D110" s="107">
        <f t="shared" si="43"/>
        <v>308</v>
      </c>
      <c r="E110" s="113">
        <v>400</v>
      </c>
      <c r="F110" s="113">
        <f t="shared" si="41"/>
        <v>129.87012987012986</v>
      </c>
      <c r="G110" s="596">
        <f>377361.6/1000</f>
        <v>377.36159999999995</v>
      </c>
      <c r="H110" s="596">
        <f t="shared" si="45"/>
        <v>251.57</v>
      </c>
      <c r="I110" s="596">
        <v>390.41666000000004</v>
      </c>
      <c r="J110" s="113">
        <f t="shared" si="42"/>
        <v>155.19205787653539</v>
      </c>
      <c r="K110" s="105"/>
    </row>
    <row r="111" spans="1:12" ht="30.75" customHeight="1" thickBot="1" x14ac:dyDescent="0.3">
      <c r="A111" s="35">
        <v>1</v>
      </c>
      <c r="B111" s="116" t="s">
        <v>123</v>
      </c>
      <c r="C111" s="113">
        <v>11976</v>
      </c>
      <c r="D111" s="107">
        <f>ROUND(C111/12*$B$3,0)</f>
        <v>7984</v>
      </c>
      <c r="E111" s="113">
        <v>8121</v>
      </c>
      <c r="F111" s="113">
        <f>E111/D111*100</f>
        <v>101.71593186372745</v>
      </c>
      <c r="G111" s="596">
        <v>9712.7755199999992</v>
      </c>
      <c r="H111" s="596">
        <f t="shared" si="45"/>
        <v>6475.18</v>
      </c>
      <c r="I111" s="596">
        <v>6568.996180000001</v>
      </c>
      <c r="J111" s="113">
        <f>I111/H111*100</f>
        <v>101.44885825567785</v>
      </c>
      <c r="K111" s="105"/>
    </row>
    <row r="112" spans="1:12" ht="15.75" thickBot="1" x14ac:dyDescent="0.3">
      <c r="A112" s="35">
        <v>1</v>
      </c>
      <c r="B112" s="301" t="s">
        <v>3</v>
      </c>
      <c r="C112" s="609"/>
      <c r="D112" s="609"/>
      <c r="E112" s="609"/>
      <c r="F112" s="610"/>
      <c r="G112" s="627">
        <f>G107+G102+G111</f>
        <v>31430.740450000001</v>
      </c>
      <c r="H112" s="627">
        <f>H107+H102+H111</f>
        <v>20953.810000000001</v>
      </c>
      <c r="I112" s="627">
        <f>I107+I102+I111</f>
        <v>21793.929640000002</v>
      </c>
      <c r="J112" s="426">
        <f t="shared" si="42"/>
        <v>104.00938845966439</v>
      </c>
      <c r="K112" s="105"/>
    </row>
    <row r="113" spans="1:12" x14ac:dyDescent="0.25">
      <c r="A113" s="35">
        <v>1</v>
      </c>
      <c r="B113" s="30"/>
      <c r="C113" s="143"/>
      <c r="D113" s="143"/>
      <c r="E113" s="143"/>
      <c r="F113" s="142"/>
      <c r="G113" s="353"/>
      <c r="H113" s="353"/>
      <c r="I113" s="353"/>
      <c r="J113" s="143"/>
      <c r="K113" s="105"/>
    </row>
    <row r="114" spans="1:12" ht="29.25" x14ac:dyDescent="0.25">
      <c r="A114" s="35">
        <v>1</v>
      </c>
      <c r="B114" s="26" t="s">
        <v>68</v>
      </c>
      <c r="C114" s="121"/>
      <c r="D114" s="121"/>
      <c r="E114" s="121"/>
      <c r="F114" s="118"/>
      <c r="G114" s="354"/>
      <c r="H114" s="354"/>
      <c r="I114" s="354"/>
      <c r="J114" s="121"/>
      <c r="K114" s="105"/>
    </row>
    <row r="115" spans="1:12" ht="30" x14ac:dyDescent="0.25">
      <c r="A115" s="35">
        <v>1</v>
      </c>
      <c r="B115" s="198" t="s">
        <v>120</v>
      </c>
      <c r="C115" s="113">
        <f>SUM(C116:C117)</f>
        <v>27938</v>
      </c>
      <c r="D115" s="113">
        <f>SUM(D116:D117)</f>
        <v>18625</v>
      </c>
      <c r="E115" s="113">
        <f>SUM(E116:E117)</f>
        <v>18668</v>
      </c>
      <c r="F115" s="113">
        <f t="shared" ref="F115:F121" si="46">E115/D115*100</f>
        <v>100.23087248322146</v>
      </c>
      <c r="G115" s="596">
        <f>SUM(G116:G117)</f>
        <v>39132.471449999997</v>
      </c>
      <c r="H115" s="596">
        <f>SUM(H116:H117)</f>
        <v>26088.31</v>
      </c>
      <c r="I115" s="596">
        <f>SUM(I116:I117)</f>
        <v>26133.025529999999</v>
      </c>
      <c r="J115" s="113">
        <f t="shared" ref="J115:J122" si="47">I115/H115*100</f>
        <v>100.17140063883019</v>
      </c>
      <c r="K115" s="105"/>
    </row>
    <row r="116" spans="1:12" ht="37.5" customHeight="1" x14ac:dyDescent="0.25">
      <c r="A116" s="35">
        <v>1</v>
      </c>
      <c r="B116" s="71" t="s">
        <v>79</v>
      </c>
      <c r="C116" s="113">
        <v>21491</v>
      </c>
      <c r="D116" s="107">
        <f>ROUND(C116/12*$B$3,0)</f>
        <v>14327</v>
      </c>
      <c r="E116" s="113">
        <v>14324</v>
      </c>
      <c r="F116" s="113">
        <f t="shared" si="46"/>
        <v>99.979060515111328</v>
      </c>
      <c r="G116" s="596">
        <v>29651.855799999998</v>
      </c>
      <c r="H116" s="596">
        <f t="shared" ref="H116:H117" si="48">ROUND(G116/12*$B$3,2)</f>
        <v>19767.900000000001</v>
      </c>
      <c r="I116" s="596">
        <v>19661.999909999999</v>
      </c>
      <c r="J116" s="113">
        <f t="shared" si="47"/>
        <v>99.464282548980904</v>
      </c>
      <c r="K116" s="105"/>
    </row>
    <row r="117" spans="1:12" ht="27.75" customHeight="1" x14ac:dyDescent="0.25">
      <c r="A117" s="35">
        <v>1</v>
      </c>
      <c r="B117" s="71" t="s">
        <v>80</v>
      </c>
      <c r="C117" s="113">
        <v>6447</v>
      </c>
      <c r="D117" s="107">
        <f>ROUND(C117/12*$B$3,0)</f>
        <v>4298</v>
      </c>
      <c r="E117" s="113">
        <v>4344</v>
      </c>
      <c r="F117" s="113">
        <f t="shared" si="46"/>
        <v>101.07026523964635</v>
      </c>
      <c r="G117" s="596">
        <v>9480.6156499999979</v>
      </c>
      <c r="H117" s="596">
        <f t="shared" si="48"/>
        <v>6320.41</v>
      </c>
      <c r="I117" s="596">
        <v>6471.0256199999994</v>
      </c>
      <c r="J117" s="113">
        <f t="shared" si="47"/>
        <v>102.38300395069307</v>
      </c>
      <c r="K117" s="105"/>
    </row>
    <row r="118" spans="1:12" ht="27.75" customHeight="1" x14ac:dyDescent="0.25">
      <c r="A118" s="35">
        <v>1</v>
      </c>
      <c r="B118" s="198" t="s">
        <v>112</v>
      </c>
      <c r="C118" s="113">
        <f>SUM(C119)</f>
        <v>6000</v>
      </c>
      <c r="D118" s="113">
        <f t="shared" ref="D118:I118" si="49">SUM(D119)</f>
        <v>4000</v>
      </c>
      <c r="E118" s="113">
        <f t="shared" si="49"/>
        <v>3908</v>
      </c>
      <c r="F118" s="113">
        <f t="shared" si="46"/>
        <v>97.7</v>
      </c>
      <c r="G118" s="596">
        <f t="shared" si="49"/>
        <v>10602.6</v>
      </c>
      <c r="H118" s="596">
        <f t="shared" si="49"/>
        <v>7068.4</v>
      </c>
      <c r="I118" s="596">
        <f t="shared" si="49"/>
        <v>6907.55843</v>
      </c>
      <c r="J118" s="113">
        <f t="shared" si="47"/>
        <v>97.724498189123437</v>
      </c>
      <c r="K118" s="105"/>
    </row>
    <row r="119" spans="1:12" ht="27.75" customHeight="1" x14ac:dyDescent="0.25">
      <c r="A119" s="35">
        <v>1</v>
      </c>
      <c r="B119" s="286" t="s">
        <v>108</v>
      </c>
      <c r="C119" s="174">
        <v>6000</v>
      </c>
      <c r="D119" s="300">
        <f>ROUND(C119/12*$B$3,0)</f>
        <v>4000</v>
      </c>
      <c r="E119" s="320">
        <v>3908</v>
      </c>
      <c r="F119" s="174">
        <f t="shared" si="46"/>
        <v>97.7</v>
      </c>
      <c r="G119" s="596">
        <f>10602600/1000</f>
        <v>10602.6</v>
      </c>
      <c r="H119" s="596">
        <f t="shared" ref="H119:H121" si="50">ROUND(G119/12*$B$3,2)</f>
        <v>7068.4</v>
      </c>
      <c r="I119" s="596">
        <v>6907.55843</v>
      </c>
      <c r="J119" s="174">
        <f t="shared" si="47"/>
        <v>97.724498189123437</v>
      </c>
      <c r="K119" s="105"/>
    </row>
    <row r="120" spans="1:12" s="106" customFormat="1" ht="27.75" customHeight="1" x14ac:dyDescent="0.25">
      <c r="A120" s="35">
        <v>1</v>
      </c>
      <c r="B120" s="285" t="s">
        <v>123</v>
      </c>
      <c r="C120" s="174">
        <v>55185</v>
      </c>
      <c r="D120" s="300">
        <f>ROUND(C120/12*$B$3,0)</f>
        <v>36790</v>
      </c>
      <c r="E120" s="320">
        <f>27563+E121</f>
        <v>37158</v>
      </c>
      <c r="F120" s="174">
        <f t="shared" si="46"/>
        <v>101.00027181299266</v>
      </c>
      <c r="G120" s="596">
        <v>44756.138699999996</v>
      </c>
      <c r="H120" s="596">
        <f t="shared" si="50"/>
        <v>29837.43</v>
      </c>
      <c r="I120" s="596">
        <f>22280.11423+I121</f>
        <v>30042.581449999998</v>
      </c>
      <c r="J120" s="174">
        <f t="shared" si="47"/>
        <v>100.68756407639665</v>
      </c>
      <c r="K120" s="105"/>
      <c r="L120" s="723"/>
    </row>
    <row r="121" spans="1:12" s="106" customFormat="1" ht="27.75" customHeight="1" thickBot="1" x14ac:dyDescent="0.3">
      <c r="A121" s="35">
        <v>1</v>
      </c>
      <c r="B121" s="116" t="s">
        <v>124</v>
      </c>
      <c r="C121" s="113">
        <v>13500</v>
      </c>
      <c r="D121" s="107">
        <f>ROUND(C121/12*$B$3,0)</f>
        <v>9000</v>
      </c>
      <c r="E121" s="113">
        <v>9595</v>
      </c>
      <c r="F121" s="113">
        <f t="shared" si="46"/>
        <v>106.6111111111111</v>
      </c>
      <c r="G121" s="596">
        <v>10948.769999999999</v>
      </c>
      <c r="H121" s="596">
        <f t="shared" si="50"/>
        <v>7299.18</v>
      </c>
      <c r="I121" s="596">
        <v>7762.4672199999995</v>
      </c>
      <c r="J121" s="113"/>
      <c r="K121" s="105"/>
      <c r="L121" s="723"/>
    </row>
    <row r="122" spans="1:12" ht="15.75" thickBot="1" x14ac:dyDescent="0.3">
      <c r="A122" s="35">
        <v>1</v>
      </c>
      <c r="B122" s="119" t="s">
        <v>3</v>
      </c>
      <c r="C122" s="426"/>
      <c r="D122" s="426"/>
      <c r="E122" s="426"/>
      <c r="F122" s="610"/>
      <c r="G122" s="623">
        <f>G115+G118+G120</f>
        <v>94491.210149999999</v>
      </c>
      <c r="H122" s="623">
        <f>H115+H118+H120</f>
        <v>62994.14</v>
      </c>
      <c r="I122" s="623">
        <f>I115+I118+I120</f>
        <v>63083.165409999994</v>
      </c>
      <c r="J122" s="426">
        <f t="shared" si="47"/>
        <v>100.14132331991514</v>
      </c>
      <c r="K122" s="105"/>
    </row>
    <row r="123" spans="1:12" ht="15" customHeight="1" x14ac:dyDescent="0.25">
      <c r="A123" s="35">
        <v>1</v>
      </c>
      <c r="B123" s="30"/>
      <c r="C123" s="143"/>
      <c r="D123" s="143"/>
      <c r="E123" s="143"/>
      <c r="F123" s="142"/>
      <c r="G123" s="353"/>
      <c r="H123" s="353"/>
      <c r="I123" s="353"/>
      <c r="J123" s="143"/>
      <c r="K123" s="105"/>
    </row>
    <row r="124" spans="1:12" ht="29.25" x14ac:dyDescent="0.25">
      <c r="A124" s="35">
        <v>1</v>
      </c>
      <c r="B124" s="26" t="s">
        <v>69</v>
      </c>
      <c r="C124" s="121"/>
      <c r="D124" s="121"/>
      <c r="E124" s="121"/>
      <c r="F124" s="118"/>
      <c r="G124" s="354"/>
      <c r="H124" s="354"/>
      <c r="I124" s="354"/>
      <c r="J124" s="121"/>
      <c r="K124" s="105"/>
    </row>
    <row r="125" spans="1:12" ht="36" customHeight="1" x14ac:dyDescent="0.25">
      <c r="A125" s="35">
        <v>1</v>
      </c>
      <c r="B125" s="198" t="s">
        <v>120</v>
      </c>
      <c r="C125" s="113">
        <f>SUM(C126:C129)</f>
        <v>6342</v>
      </c>
      <c r="D125" s="107">
        <f>SUM(D126:D129)</f>
        <v>4228</v>
      </c>
      <c r="E125" s="113">
        <f>SUM(E126:E129)</f>
        <v>4609</v>
      </c>
      <c r="F125" s="113">
        <f>E125/D125*100</f>
        <v>109.01135288552508</v>
      </c>
      <c r="G125" s="596">
        <f>SUM(G126:G129)</f>
        <v>8530.2624799999994</v>
      </c>
      <c r="H125" s="596">
        <f>SUM(H126:H129)</f>
        <v>5686.84</v>
      </c>
      <c r="I125" s="596">
        <f>SUM(I126:I129)</f>
        <v>6725.3587299999999</v>
      </c>
      <c r="J125" s="113">
        <f t="shared" ref="J125:J144" si="51">I125/H125*100</f>
        <v>118.26178914827918</v>
      </c>
      <c r="K125" s="105"/>
    </row>
    <row r="126" spans="1:12" ht="26.25" customHeight="1" x14ac:dyDescent="0.25">
      <c r="A126" s="35">
        <v>1</v>
      </c>
      <c r="B126" s="71" t="s">
        <v>79</v>
      </c>
      <c r="C126" s="113">
        <v>4846</v>
      </c>
      <c r="D126" s="107">
        <f t="shared" ref="D126:D133" si="52">ROUND(C126/12*$B$3,0)</f>
        <v>3231</v>
      </c>
      <c r="E126" s="113">
        <v>3516</v>
      </c>
      <c r="F126" s="113">
        <f>E126/D126*100</f>
        <v>108.82079851439184</v>
      </c>
      <c r="G126" s="596">
        <v>6118.4129999999996</v>
      </c>
      <c r="H126" s="596">
        <f t="shared" ref="H126:H129" si="53">ROUND(G126/12*$B$3,2)</f>
        <v>4078.94</v>
      </c>
      <c r="I126" s="596">
        <v>4828.8305399999999</v>
      </c>
      <c r="J126" s="113">
        <f t="shared" si="51"/>
        <v>118.38444644932262</v>
      </c>
      <c r="K126" s="105"/>
    </row>
    <row r="127" spans="1:12" ht="27" customHeight="1" x14ac:dyDescent="0.25">
      <c r="A127" s="35">
        <v>1</v>
      </c>
      <c r="B127" s="71" t="s">
        <v>80</v>
      </c>
      <c r="C127" s="113">
        <v>1454</v>
      </c>
      <c r="D127" s="107">
        <f t="shared" si="52"/>
        <v>969</v>
      </c>
      <c r="E127" s="113">
        <v>1045</v>
      </c>
      <c r="F127" s="113">
        <f>E127/D127*100</f>
        <v>107.84313725490196</v>
      </c>
      <c r="G127" s="596">
        <v>2182.1766799999996</v>
      </c>
      <c r="H127" s="596">
        <f t="shared" si="53"/>
        <v>1454.78</v>
      </c>
      <c r="I127" s="596">
        <v>1635.13867</v>
      </c>
      <c r="J127" s="113">
        <f t="shared" si="51"/>
        <v>112.39765943991532</v>
      </c>
      <c r="K127" s="105"/>
    </row>
    <row r="128" spans="1:12" ht="30" x14ac:dyDescent="0.25">
      <c r="A128" s="35">
        <v>1</v>
      </c>
      <c r="B128" s="71" t="s">
        <v>114</v>
      </c>
      <c r="C128" s="113"/>
      <c r="D128" s="107">
        <f t="shared" si="52"/>
        <v>0</v>
      </c>
      <c r="E128" s="113"/>
      <c r="F128" s="113"/>
      <c r="G128" s="596"/>
      <c r="H128" s="596">
        <f t="shared" si="53"/>
        <v>0</v>
      </c>
      <c r="I128" s="596"/>
      <c r="J128" s="113"/>
      <c r="K128" s="105"/>
    </row>
    <row r="129" spans="1:12" ht="30" x14ac:dyDescent="0.25">
      <c r="A129" s="35">
        <v>1</v>
      </c>
      <c r="B129" s="71" t="s">
        <v>115</v>
      </c>
      <c r="C129" s="113">
        <v>42</v>
      </c>
      <c r="D129" s="107">
        <f t="shared" si="52"/>
        <v>28</v>
      </c>
      <c r="E129" s="113">
        <v>48</v>
      </c>
      <c r="F129" s="113">
        <f t="shared" ref="F129:F134" si="54">E129/D129*100</f>
        <v>171.42857142857142</v>
      </c>
      <c r="G129" s="596">
        <v>229.6728</v>
      </c>
      <c r="H129" s="596">
        <f t="shared" si="53"/>
        <v>153.12</v>
      </c>
      <c r="I129" s="596">
        <v>261.38952</v>
      </c>
      <c r="J129" s="113">
        <f t="shared" si="51"/>
        <v>170.70893416927899</v>
      </c>
      <c r="K129" s="105"/>
    </row>
    <row r="130" spans="1:12" ht="30" x14ac:dyDescent="0.25">
      <c r="A130" s="35">
        <v>1</v>
      </c>
      <c r="B130" s="227" t="s">
        <v>112</v>
      </c>
      <c r="C130" s="113">
        <f>SUM(C131:C133)</f>
        <v>7520</v>
      </c>
      <c r="D130" s="113">
        <f>SUM(D131:D133)</f>
        <v>5013</v>
      </c>
      <c r="E130" s="113">
        <f>SUM(E131:E133)</f>
        <v>4536</v>
      </c>
      <c r="F130" s="113">
        <f t="shared" si="54"/>
        <v>90.484739676840221</v>
      </c>
      <c r="G130" s="596">
        <f>SUM(G131:G133)</f>
        <v>13390.177</v>
      </c>
      <c r="H130" s="596">
        <f>SUM(H131:H133)</f>
        <v>8926.7800000000007</v>
      </c>
      <c r="I130" s="596">
        <f>SUM(I131:I133)</f>
        <v>8139.4812500000007</v>
      </c>
      <c r="J130" s="113">
        <f t="shared" si="51"/>
        <v>91.180484452400535</v>
      </c>
      <c r="K130" s="105"/>
    </row>
    <row r="131" spans="1:12" ht="30" x14ac:dyDescent="0.25">
      <c r="A131" s="35">
        <v>1</v>
      </c>
      <c r="B131" s="71" t="s">
        <v>108</v>
      </c>
      <c r="C131" s="113">
        <v>1470</v>
      </c>
      <c r="D131" s="107">
        <f t="shared" si="52"/>
        <v>980</v>
      </c>
      <c r="E131" s="113">
        <v>1032</v>
      </c>
      <c r="F131" s="113">
        <f t="shared" si="54"/>
        <v>105.30612244897959</v>
      </c>
      <c r="G131" s="596">
        <f>2597637/1000</f>
        <v>2597.6370000000002</v>
      </c>
      <c r="H131" s="596">
        <f t="shared" ref="H131:H134" si="55">ROUND(G131/12*$B$3,2)</f>
        <v>1731.76</v>
      </c>
      <c r="I131" s="596">
        <v>1798.80952</v>
      </c>
      <c r="J131" s="113">
        <f t="shared" si="51"/>
        <v>103.87175590151061</v>
      </c>
      <c r="K131" s="105"/>
    </row>
    <row r="132" spans="1:12" ht="45" customHeight="1" x14ac:dyDescent="0.25">
      <c r="A132" s="35">
        <v>1</v>
      </c>
      <c r="B132" s="71" t="s">
        <v>118</v>
      </c>
      <c r="C132" s="113">
        <v>3960</v>
      </c>
      <c r="D132" s="107">
        <f t="shared" si="52"/>
        <v>2640</v>
      </c>
      <c r="E132" s="113">
        <v>2014</v>
      </c>
      <c r="F132" s="113">
        <f t="shared" si="54"/>
        <v>76.287878787878796</v>
      </c>
      <c r="G132" s="596">
        <f>9085428/1000</f>
        <v>9085.4279999999999</v>
      </c>
      <c r="H132" s="596">
        <f t="shared" si="55"/>
        <v>6056.95</v>
      </c>
      <c r="I132" s="596">
        <v>5077.1301500000009</v>
      </c>
      <c r="J132" s="113">
        <f t="shared" si="51"/>
        <v>83.823213828742212</v>
      </c>
      <c r="K132" s="105"/>
    </row>
    <row r="133" spans="1:12" ht="45" customHeight="1" x14ac:dyDescent="0.25">
      <c r="A133" s="35">
        <v>1</v>
      </c>
      <c r="B133" s="71" t="s">
        <v>109</v>
      </c>
      <c r="C133" s="113">
        <v>2090</v>
      </c>
      <c r="D133" s="107">
        <f t="shared" si="52"/>
        <v>1393</v>
      </c>
      <c r="E133" s="113">
        <v>1490</v>
      </c>
      <c r="F133" s="113">
        <f t="shared" si="54"/>
        <v>106.96338837042354</v>
      </c>
      <c r="G133" s="596">
        <f>1707112/1000</f>
        <v>1707.1120000000001</v>
      </c>
      <c r="H133" s="596">
        <f t="shared" si="55"/>
        <v>1138.07</v>
      </c>
      <c r="I133" s="596">
        <v>1263.5415799999998</v>
      </c>
      <c r="J133" s="113">
        <f t="shared" si="51"/>
        <v>111.02494398411345</v>
      </c>
      <c r="K133" s="105"/>
    </row>
    <row r="134" spans="1:12" ht="32.25" customHeight="1" thickBot="1" x14ac:dyDescent="0.3">
      <c r="A134" s="35">
        <v>1</v>
      </c>
      <c r="B134" s="116" t="s">
        <v>123</v>
      </c>
      <c r="C134" s="113">
        <v>12195</v>
      </c>
      <c r="D134" s="107">
        <f>ROUND(C134/12*$B$3,0)</f>
        <v>8130</v>
      </c>
      <c r="E134" s="113">
        <v>8679</v>
      </c>
      <c r="F134" s="113">
        <f t="shared" si="54"/>
        <v>106.75276752767529</v>
      </c>
      <c r="G134" s="596">
        <v>9890.3888999999999</v>
      </c>
      <c r="H134" s="596">
        <f t="shared" si="55"/>
        <v>6593.59</v>
      </c>
      <c r="I134" s="596">
        <v>7026.8807799999995</v>
      </c>
      <c r="J134" s="113">
        <f>I134/H134*100</f>
        <v>106.57139403572256</v>
      </c>
      <c r="K134" s="105"/>
    </row>
    <row r="135" spans="1:12" ht="15.75" thickBot="1" x14ac:dyDescent="0.3">
      <c r="A135" s="35">
        <v>1</v>
      </c>
      <c r="B135" s="212" t="s">
        <v>3</v>
      </c>
      <c r="C135" s="609"/>
      <c r="D135" s="609"/>
      <c r="E135" s="609"/>
      <c r="F135" s="610"/>
      <c r="G135" s="627">
        <f>G130+G125+G134</f>
        <v>31810.828379999999</v>
      </c>
      <c r="H135" s="627">
        <f>H130+H125+H134</f>
        <v>21207.21</v>
      </c>
      <c r="I135" s="627">
        <f>I130+I125+I134</f>
        <v>21891.72076</v>
      </c>
      <c r="J135" s="426">
        <f t="shared" si="51"/>
        <v>103.2277266080734</v>
      </c>
      <c r="K135" s="105"/>
    </row>
    <row r="136" spans="1:12" x14ac:dyDescent="0.25">
      <c r="A136" s="35">
        <v>1</v>
      </c>
      <c r="B136" s="30"/>
      <c r="C136" s="142"/>
      <c r="D136" s="142"/>
      <c r="E136" s="142"/>
      <c r="F136" s="142"/>
      <c r="G136" s="353"/>
      <c r="H136" s="353"/>
      <c r="I136" s="353"/>
      <c r="J136" s="143"/>
      <c r="K136" s="105"/>
    </row>
    <row r="137" spans="1:12" ht="29.25" x14ac:dyDescent="0.25">
      <c r="A137" s="35">
        <v>1</v>
      </c>
      <c r="B137" s="73" t="s">
        <v>70</v>
      </c>
      <c r="C137" s="118"/>
      <c r="D137" s="118"/>
      <c r="E137" s="118"/>
      <c r="F137" s="118"/>
      <c r="G137" s="354"/>
      <c r="H137" s="354"/>
      <c r="I137" s="354"/>
      <c r="J137" s="113"/>
      <c r="K137" s="105"/>
    </row>
    <row r="138" spans="1:12" ht="30" x14ac:dyDescent="0.25">
      <c r="A138" s="35">
        <v>1</v>
      </c>
      <c r="B138" s="227" t="s">
        <v>120</v>
      </c>
      <c r="C138" s="113">
        <f>SUM(C139:C140)</f>
        <v>13530</v>
      </c>
      <c r="D138" s="113">
        <f>SUM(D139:D140)</f>
        <v>9020</v>
      </c>
      <c r="E138" s="113">
        <f>SUM(E139:E140)</f>
        <v>8545</v>
      </c>
      <c r="F138" s="113">
        <f t="shared" ref="F138:F143" si="56">E138/D138*100</f>
        <v>94.733924611973393</v>
      </c>
      <c r="G138" s="351">
        <f>SUM(G139:G140)</f>
        <v>19034.915760000004</v>
      </c>
      <c r="H138" s="351">
        <f>SUM(H139:H140)</f>
        <v>12689.95</v>
      </c>
      <c r="I138" s="351">
        <f>SUM(I139:I140)</f>
        <v>11487.648669999999</v>
      </c>
      <c r="J138" s="113">
        <f t="shared" si="51"/>
        <v>90.525562906079202</v>
      </c>
      <c r="K138" s="105"/>
    </row>
    <row r="139" spans="1:12" ht="30" x14ac:dyDescent="0.25">
      <c r="A139" s="35">
        <v>1</v>
      </c>
      <c r="B139" s="71" t="s">
        <v>79</v>
      </c>
      <c r="C139" s="113">
        <v>10408</v>
      </c>
      <c r="D139" s="107">
        <f>ROUND(C139/12*$B$3,0)</f>
        <v>6939</v>
      </c>
      <c r="E139" s="113">
        <v>6432</v>
      </c>
      <c r="F139" s="113">
        <f t="shared" si="56"/>
        <v>92.693471681798528</v>
      </c>
      <c r="G139" s="351">
        <v>14164.273200000003</v>
      </c>
      <c r="H139" s="628">
        <f t="shared" ref="H139:H140" si="57">ROUND(G139/12*$B$3,2)</f>
        <v>9442.85</v>
      </c>
      <c r="I139" s="351">
        <v>8279.3511199999975</v>
      </c>
      <c r="J139" s="113">
        <f t="shared" si="51"/>
        <v>87.678519938366037</v>
      </c>
      <c r="K139" s="105"/>
    </row>
    <row r="140" spans="1:12" ht="30" x14ac:dyDescent="0.25">
      <c r="A140" s="35">
        <v>1</v>
      </c>
      <c r="B140" s="286" t="s">
        <v>80</v>
      </c>
      <c r="C140" s="174">
        <v>3122</v>
      </c>
      <c r="D140" s="300">
        <f>ROUND(C140/12*$B$3,0)</f>
        <v>2081</v>
      </c>
      <c r="E140" s="174">
        <v>2113</v>
      </c>
      <c r="F140" s="174">
        <f t="shared" si="56"/>
        <v>101.5377222489188</v>
      </c>
      <c r="G140" s="374">
        <v>4870.6425600000002</v>
      </c>
      <c r="H140" s="628">
        <f t="shared" si="57"/>
        <v>3247.1</v>
      </c>
      <c r="I140" s="374">
        <v>3208.2975500000002</v>
      </c>
      <c r="J140" s="113">
        <f t="shared" si="51"/>
        <v>98.805012164700827</v>
      </c>
      <c r="K140" s="105"/>
    </row>
    <row r="141" spans="1:12" ht="30" x14ac:dyDescent="0.25">
      <c r="A141" s="35">
        <v>1</v>
      </c>
      <c r="B141" s="227" t="s">
        <v>112</v>
      </c>
      <c r="C141" s="113">
        <f>SUM(C142)</f>
        <v>480</v>
      </c>
      <c r="D141" s="113">
        <f t="shared" ref="D141:H141" si="58">SUM(D142)</f>
        <v>320</v>
      </c>
      <c r="E141" s="113">
        <f t="shared" si="58"/>
        <v>318</v>
      </c>
      <c r="F141" s="113">
        <f t="shared" si="56"/>
        <v>99.375</v>
      </c>
      <c r="G141" s="347">
        <f t="shared" si="58"/>
        <v>848.20799999999997</v>
      </c>
      <c r="H141" s="347">
        <f t="shared" si="58"/>
        <v>565.47</v>
      </c>
      <c r="I141" s="347">
        <f>I142</f>
        <v>550.17948000000013</v>
      </c>
      <c r="J141" s="113">
        <f t="shared" si="51"/>
        <v>97.295962650538499</v>
      </c>
      <c r="K141" s="105"/>
    </row>
    <row r="142" spans="1:12" ht="30" x14ac:dyDescent="0.25">
      <c r="A142" s="35">
        <v>1</v>
      </c>
      <c r="B142" s="286" t="s">
        <v>108</v>
      </c>
      <c r="C142" s="318">
        <v>480</v>
      </c>
      <c r="D142" s="300">
        <f>ROUND(C142/12*$B$3,0)</f>
        <v>320</v>
      </c>
      <c r="E142" s="318">
        <v>318</v>
      </c>
      <c r="F142" s="174">
        <f t="shared" si="56"/>
        <v>99.375</v>
      </c>
      <c r="G142" s="582">
        <f>848208/1000</f>
        <v>848.20799999999997</v>
      </c>
      <c r="H142" s="628">
        <f t="shared" ref="H142:H143" si="59">ROUND(G142/12*$B$3,2)</f>
        <v>565.47</v>
      </c>
      <c r="I142" s="582">
        <v>550.17948000000013</v>
      </c>
      <c r="J142" s="174">
        <f t="shared" si="51"/>
        <v>97.295962650538499</v>
      </c>
      <c r="K142" s="105"/>
    </row>
    <row r="143" spans="1:12" s="106" customFormat="1" ht="30.75" thickBot="1" x14ac:dyDescent="0.3">
      <c r="A143" s="35">
        <v>1</v>
      </c>
      <c r="B143" s="285" t="s">
        <v>123</v>
      </c>
      <c r="C143" s="174">
        <v>13300</v>
      </c>
      <c r="D143" s="300">
        <f>ROUND(C143/12*$B$3,0)</f>
        <v>8867</v>
      </c>
      <c r="E143" s="174">
        <v>8692</v>
      </c>
      <c r="F143" s="174">
        <f t="shared" si="56"/>
        <v>98.026389985338909</v>
      </c>
      <c r="G143" s="374">
        <v>10786.566000000001</v>
      </c>
      <c r="H143" s="628">
        <f t="shared" si="59"/>
        <v>7191.04</v>
      </c>
      <c r="I143" s="374">
        <v>7015.1112400000011</v>
      </c>
      <c r="J143" s="113">
        <f>I143/H143*100</f>
        <v>97.553500467248142</v>
      </c>
      <c r="K143" s="105"/>
      <c r="L143" s="723"/>
    </row>
    <row r="144" spans="1:12" ht="15.75" thickBot="1" x14ac:dyDescent="0.3">
      <c r="A144" s="35">
        <v>1</v>
      </c>
      <c r="B144" s="378" t="s">
        <v>3</v>
      </c>
      <c r="C144" s="609"/>
      <c r="D144" s="609"/>
      <c r="E144" s="609"/>
      <c r="F144" s="610"/>
      <c r="G144" s="611">
        <f>G138+G141+G143</f>
        <v>30669.689760000001</v>
      </c>
      <c r="H144" s="611">
        <f>H138+H141+H143</f>
        <v>20446.46</v>
      </c>
      <c r="I144" s="611">
        <f>I138+I141+I143</f>
        <v>19052.93939</v>
      </c>
      <c r="J144" s="426">
        <f t="shared" si="51"/>
        <v>93.184538497128599</v>
      </c>
      <c r="K144" s="105"/>
    </row>
    <row r="145" spans="1:12" ht="15" customHeight="1" x14ac:dyDescent="0.25">
      <c r="A145" s="35">
        <v>1</v>
      </c>
      <c r="B145" s="82"/>
      <c r="C145" s="143"/>
      <c r="D145" s="143"/>
      <c r="E145" s="143"/>
      <c r="F145" s="142"/>
      <c r="G145" s="353"/>
      <c r="H145" s="353"/>
      <c r="I145" s="353"/>
      <c r="J145" s="143"/>
      <c r="K145" s="105"/>
    </row>
    <row r="146" spans="1:12" ht="33" customHeight="1" x14ac:dyDescent="0.25">
      <c r="A146" s="35">
        <v>1</v>
      </c>
      <c r="B146" s="73" t="s">
        <v>82</v>
      </c>
      <c r="C146" s="118"/>
      <c r="D146" s="118"/>
      <c r="E146" s="118"/>
      <c r="F146" s="118"/>
      <c r="G146" s="347"/>
      <c r="H146" s="347"/>
      <c r="I146" s="347"/>
      <c r="J146" s="113"/>
      <c r="K146" s="105"/>
    </row>
    <row r="147" spans="1:12" ht="30" x14ac:dyDescent="0.25">
      <c r="A147" s="35">
        <v>1</v>
      </c>
      <c r="B147" s="198" t="s">
        <v>120</v>
      </c>
      <c r="C147" s="113">
        <f>SUM(C148:C149)</f>
        <v>178</v>
      </c>
      <c r="D147" s="113">
        <f>SUM(D148:D149)</f>
        <v>118</v>
      </c>
      <c r="E147" s="113">
        <f>SUM(E148:E149)</f>
        <v>171</v>
      </c>
      <c r="F147" s="113">
        <f t="shared" ref="F147:F152" si="60">E147/D147*100</f>
        <v>144.91525423728814</v>
      </c>
      <c r="G147" s="596">
        <f>SUM(G148:G149)</f>
        <v>973.37519999999995</v>
      </c>
      <c r="H147" s="596">
        <f>SUM(H148:H149)</f>
        <v>648.91999999999996</v>
      </c>
      <c r="I147" s="596">
        <f>SUM(I148:I149)</f>
        <v>779.24630000000002</v>
      </c>
      <c r="J147" s="113">
        <f t="shared" ref="J147:J154" si="61">I147/H147*100</f>
        <v>120.08356962337423</v>
      </c>
      <c r="K147" s="105"/>
    </row>
    <row r="148" spans="1:12" ht="30" x14ac:dyDescent="0.25">
      <c r="A148" s="35">
        <v>1</v>
      </c>
      <c r="B148" s="71" t="s">
        <v>114</v>
      </c>
      <c r="C148" s="113">
        <v>89</v>
      </c>
      <c r="D148" s="107">
        <f>ROUND(C148/12*$B$3,0)</f>
        <v>59</v>
      </c>
      <c r="E148" s="113">
        <v>128</v>
      </c>
      <c r="F148" s="113">
        <f t="shared" si="60"/>
        <v>216.94915254237287</v>
      </c>
      <c r="G148" s="596">
        <v>486.68759999999997</v>
      </c>
      <c r="H148" s="596">
        <f t="shared" ref="H148:H149" si="62">ROUND(G148/12*$B$3,2)</f>
        <v>324.45999999999998</v>
      </c>
      <c r="I148" s="596">
        <v>571.44780000000003</v>
      </c>
      <c r="J148" s="113">
        <f t="shared" si="61"/>
        <v>176.12272699254149</v>
      </c>
      <c r="K148" s="105"/>
    </row>
    <row r="149" spans="1:12" ht="30" x14ac:dyDescent="0.25">
      <c r="A149" s="35">
        <v>1</v>
      </c>
      <c r="B149" s="71" t="s">
        <v>115</v>
      </c>
      <c r="C149" s="113">
        <v>89</v>
      </c>
      <c r="D149" s="107">
        <f>ROUND(C149/12*$B$3,0)</f>
        <v>59</v>
      </c>
      <c r="E149" s="113">
        <v>43</v>
      </c>
      <c r="F149" s="113">
        <f t="shared" si="60"/>
        <v>72.881355932203391</v>
      </c>
      <c r="G149" s="596">
        <v>486.68759999999997</v>
      </c>
      <c r="H149" s="596">
        <f t="shared" si="62"/>
        <v>324.45999999999998</v>
      </c>
      <c r="I149" s="596">
        <v>207.79849999999999</v>
      </c>
      <c r="J149" s="113">
        <f t="shared" si="61"/>
        <v>64.044412254206989</v>
      </c>
      <c r="K149" s="105"/>
    </row>
    <row r="150" spans="1:12" ht="30" customHeight="1" x14ac:dyDescent="0.25">
      <c r="A150" s="35">
        <v>1</v>
      </c>
      <c r="B150" s="198" t="s">
        <v>112</v>
      </c>
      <c r="C150" s="113">
        <f>SUM(C151:C152)</f>
        <v>17815</v>
      </c>
      <c r="D150" s="113">
        <f t="shared" ref="D150:I150" si="63">SUM(D151:D152)</f>
        <v>11876</v>
      </c>
      <c r="E150" s="113">
        <f t="shared" si="63"/>
        <v>14297</v>
      </c>
      <c r="F150" s="113">
        <f t="shared" si="60"/>
        <v>120.38565173459077</v>
      </c>
      <c r="G150" s="596">
        <f>SUM(G151:G152)</f>
        <v>38983.728000000003</v>
      </c>
      <c r="H150" s="596">
        <f t="shared" si="63"/>
        <v>25989.149999999998</v>
      </c>
      <c r="I150" s="596">
        <f t="shared" si="63"/>
        <v>23681.755700000002</v>
      </c>
      <c r="J150" s="113">
        <f t="shared" si="61"/>
        <v>91.12170155622637</v>
      </c>
      <c r="K150" s="105"/>
    </row>
    <row r="151" spans="1:12" ht="60" x14ac:dyDescent="0.25">
      <c r="A151" s="35">
        <v>1</v>
      </c>
      <c r="B151" s="71" t="s">
        <v>118</v>
      </c>
      <c r="C151" s="113">
        <v>15164</v>
      </c>
      <c r="D151" s="107">
        <f>ROUND(C151/12*$B$3,0)</f>
        <v>10109</v>
      </c>
      <c r="E151" s="107">
        <v>11136</v>
      </c>
      <c r="F151" s="113">
        <f t="shared" si="60"/>
        <v>110.15926402215848</v>
      </c>
      <c r="G151" s="596">
        <f>36318391.2/1000</f>
        <v>36318.391200000005</v>
      </c>
      <c r="H151" s="596">
        <f t="shared" ref="H151:H153" si="64">ROUND(G151/12*$B$3,2)</f>
        <v>24212.26</v>
      </c>
      <c r="I151" s="596">
        <v>20484.793250000002</v>
      </c>
      <c r="J151" s="113">
        <f t="shared" si="61"/>
        <v>84.605044097494428</v>
      </c>
      <c r="K151" s="105"/>
    </row>
    <row r="152" spans="1:12" ht="45" x14ac:dyDescent="0.25">
      <c r="A152" s="35">
        <v>1</v>
      </c>
      <c r="B152" s="286" t="s">
        <v>109</v>
      </c>
      <c r="C152" s="174">
        <v>2651</v>
      </c>
      <c r="D152" s="300">
        <f>ROUND(C152/12*$B$3,0)</f>
        <v>1767</v>
      </c>
      <c r="E152" s="649">
        <v>3161</v>
      </c>
      <c r="F152" s="174">
        <f t="shared" si="60"/>
        <v>178.89077532541029</v>
      </c>
      <c r="G152" s="596">
        <f>2665336.8/1000</f>
        <v>2665.3368</v>
      </c>
      <c r="H152" s="596">
        <f t="shared" si="64"/>
        <v>1776.89</v>
      </c>
      <c r="I152" s="596">
        <v>3196.96245</v>
      </c>
      <c r="J152" s="174">
        <f t="shared" si="61"/>
        <v>179.91898485556223</v>
      </c>
      <c r="K152" s="105"/>
    </row>
    <row r="153" spans="1:12" s="106" customFormat="1" ht="30.75" thickBot="1" x14ac:dyDescent="0.3">
      <c r="A153" s="35">
        <v>1</v>
      </c>
      <c r="B153" s="116" t="s">
        <v>123</v>
      </c>
      <c r="C153" s="113">
        <v>13860</v>
      </c>
      <c r="D153" s="107">
        <f>ROUND(C153/12*$B$3,0)</f>
        <v>9240</v>
      </c>
      <c r="E153" s="113">
        <v>9238</v>
      </c>
      <c r="F153" s="113">
        <f>E153/D153*100</f>
        <v>99.978354978354972</v>
      </c>
      <c r="G153" s="596">
        <v>11240.7372</v>
      </c>
      <c r="H153" s="596">
        <f t="shared" si="64"/>
        <v>7493.82</v>
      </c>
      <c r="I153" s="596">
        <v>7474.0969499999992</v>
      </c>
      <c r="J153" s="113">
        <f>I153/H153*100</f>
        <v>99.736809130723714</v>
      </c>
      <c r="K153" s="105"/>
      <c r="L153" s="723"/>
    </row>
    <row r="154" spans="1:12" ht="15" customHeight="1" thickBot="1" x14ac:dyDescent="0.3">
      <c r="A154" s="35">
        <v>1</v>
      </c>
      <c r="B154" s="119" t="s">
        <v>3</v>
      </c>
      <c r="C154" s="426"/>
      <c r="D154" s="426"/>
      <c r="E154" s="629"/>
      <c r="F154" s="630"/>
      <c r="G154" s="627">
        <f>G150+G147+G153</f>
        <v>51197.840400000001</v>
      </c>
      <c r="H154" s="627">
        <f>H150+H147+H153</f>
        <v>34131.89</v>
      </c>
      <c r="I154" s="627">
        <f>I150+I147+I153</f>
        <v>31935.09895</v>
      </c>
      <c r="J154" s="426">
        <f t="shared" si="61"/>
        <v>93.563816565680952</v>
      </c>
      <c r="K154" s="105"/>
    </row>
    <row r="155" spans="1:12" ht="15" customHeight="1" x14ac:dyDescent="0.25">
      <c r="A155" s="35">
        <v>1</v>
      </c>
      <c r="B155" s="30"/>
      <c r="C155" s="142"/>
      <c r="D155" s="142"/>
      <c r="E155" s="142"/>
      <c r="F155" s="142"/>
      <c r="G155" s="356"/>
      <c r="H155" s="356"/>
      <c r="I155" s="356"/>
      <c r="J155" s="631"/>
      <c r="K155" s="105"/>
    </row>
    <row r="156" spans="1:12" ht="43.5" customHeight="1" x14ac:dyDescent="0.25">
      <c r="A156" s="35">
        <v>1</v>
      </c>
      <c r="B156" s="73" t="s">
        <v>83</v>
      </c>
      <c r="C156" s="118"/>
      <c r="D156" s="118"/>
      <c r="E156" s="118"/>
      <c r="F156" s="118"/>
      <c r="G156" s="347"/>
      <c r="H156" s="347"/>
      <c r="I156" s="347"/>
      <c r="J156" s="113"/>
      <c r="K156" s="105"/>
    </row>
    <row r="157" spans="1:12" ht="30" x14ac:dyDescent="0.25">
      <c r="A157" s="35">
        <v>1</v>
      </c>
      <c r="B157" s="198" t="s">
        <v>120</v>
      </c>
      <c r="C157" s="113">
        <f>SUM(C158:C159)</f>
        <v>210</v>
      </c>
      <c r="D157" s="113">
        <f>SUM(D158:D159)</f>
        <v>140</v>
      </c>
      <c r="E157" s="113">
        <f>SUM(E158:E159)</f>
        <v>247</v>
      </c>
      <c r="F157" s="113">
        <f t="shared" ref="F157:F162" si="65">E157/D157*100</f>
        <v>176.42857142857142</v>
      </c>
      <c r="G157" s="596">
        <f>SUM(G158:G159)</f>
        <v>1148.364</v>
      </c>
      <c r="H157" s="596">
        <f>SUM(H158:H159)</f>
        <v>765.58</v>
      </c>
      <c r="I157" s="596">
        <f>SUM(I158:I159)</f>
        <v>1328.8212000000001</v>
      </c>
      <c r="J157" s="113">
        <f t="shared" ref="J157:J164" si="66">I157/H157*100</f>
        <v>173.57052169596906</v>
      </c>
      <c r="K157" s="105"/>
    </row>
    <row r="158" spans="1:12" ht="30" x14ac:dyDescent="0.25">
      <c r="A158" s="35">
        <v>1</v>
      </c>
      <c r="B158" s="71" t="s">
        <v>114</v>
      </c>
      <c r="C158" s="113">
        <v>60</v>
      </c>
      <c r="D158" s="107">
        <f>ROUND(C158/12*$B$3,0)</f>
        <v>40</v>
      </c>
      <c r="E158" s="113">
        <v>68</v>
      </c>
      <c r="F158" s="113">
        <f t="shared" si="65"/>
        <v>170</v>
      </c>
      <c r="G158" s="596">
        <v>328.10399999999998</v>
      </c>
      <c r="H158" s="596">
        <f t="shared" ref="H158:H159" si="67">ROUND(G158/12*$B$3,2)</f>
        <v>218.74</v>
      </c>
      <c r="I158" s="596">
        <v>350.52443999999997</v>
      </c>
      <c r="J158" s="113">
        <f t="shared" si="66"/>
        <v>160.24706958032365</v>
      </c>
      <c r="K158" s="105"/>
    </row>
    <row r="159" spans="1:12" ht="31.5" customHeight="1" x14ac:dyDescent="0.25">
      <c r="A159" s="35">
        <v>1</v>
      </c>
      <c r="B159" s="71" t="s">
        <v>115</v>
      </c>
      <c r="C159" s="113">
        <v>150</v>
      </c>
      <c r="D159" s="107">
        <f>ROUND(C159/12*$B$3,0)</f>
        <v>100</v>
      </c>
      <c r="E159" s="113">
        <v>179</v>
      </c>
      <c r="F159" s="113">
        <f t="shared" si="65"/>
        <v>179</v>
      </c>
      <c r="G159" s="596">
        <v>820.26</v>
      </c>
      <c r="H159" s="596">
        <f t="shared" si="67"/>
        <v>546.84</v>
      </c>
      <c r="I159" s="596">
        <v>978.29676000000018</v>
      </c>
      <c r="J159" s="115">
        <f t="shared" si="66"/>
        <v>178.9</v>
      </c>
      <c r="K159" s="105"/>
    </row>
    <row r="160" spans="1:12" ht="30" x14ac:dyDescent="0.25">
      <c r="A160" s="35">
        <v>1</v>
      </c>
      <c r="B160" s="198" t="s">
        <v>112</v>
      </c>
      <c r="C160" s="113">
        <f>SUM(C161:C162)</f>
        <v>17130</v>
      </c>
      <c r="D160" s="113">
        <f t="shared" ref="D160:I160" si="68">SUM(D161:D162)</f>
        <v>11420</v>
      </c>
      <c r="E160" s="113">
        <f t="shared" si="68"/>
        <v>11641</v>
      </c>
      <c r="F160" s="113">
        <f t="shared" si="65"/>
        <v>101.93520140105079</v>
      </c>
      <c r="G160" s="596">
        <f>SUM(G161:G162)</f>
        <v>37040.784</v>
      </c>
      <c r="H160" s="596">
        <f t="shared" si="68"/>
        <v>24693.86</v>
      </c>
      <c r="I160" s="596">
        <f t="shared" si="68"/>
        <v>24085.051469999999</v>
      </c>
      <c r="J160" s="113">
        <f t="shared" si="66"/>
        <v>97.534575274987375</v>
      </c>
      <c r="K160" s="105"/>
    </row>
    <row r="161" spans="1:12" ht="43.5" customHeight="1" x14ac:dyDescent="0.25">
      <c r="A161" s="35">
        <v>1</v>
      </c>
      <c r="B161" s="71" t="s">
        <v>118</v>
      </c>
      <c r="C161" s="113">
        <v>15600</v>
      </c>
      <c r="D161" s="107">
        <f>ROUND(C161/12*$B$3,0)</f>
        <v>10400</v>
      </c>
      <c r="E161" s="107">
        <v>10614</v>
      </c>
      <c r="F161" s="113">
        <f t="shared" si="65"/>
        <v>102.05769230769231</v>
      </c>
      <c r="G161" s="596">
        <f>35791080/1000</f>
        <v>35791.08</v>
      </c>
      <c r="H161" s="596">
        <f t="shared" ref="H161:H163" si="69">ROUND(G161/12*$B$3,2)</f>
        <v>23860.720000000001</v>
      </c>
      <c r="I161" s="596">
        <v>23106.763489999998</v>
      </c>
      <c r="J161" s="113">
        <f t="shared" si="66"/>
        <v>96.840177035730676</v>
      </c>
      <c r="K161" s="105"/>
    </row>
    <row r="162" spans="1:12" ht="43.5" customHeight="1" x14ac:dyDescent="0.25">
      <c r="A162" s="35">
        <v>1</v>
      </c>
      <c r="B162" s="286" t="s">
        <v>109</v>
      </c>
      <c r="C162" s="174">
        <v>1530</v>
      </c>
      <c r="D162" s="300">
        <f>ROUND(C162/12*$B$3,0)</f>
        <v>1020</v>
      </c>
      <c r="E162" s="649">
        <v>1027</v>
      </c>
      <c r="F162" s="174">
        <f t="shared" si="65"/>
        <v>100.68627450980392</v>
      </c>
      <c r="G162" s="596">
        <f>1249704/1000</f>
        <v>1249.704</v>
      </c>
      <c r="H162" s="596">
        <f t="shared" si="69"/>
        <v>833.14</v>
      </c>
      <c r="I162" s="596">
        <v>978.28797999999995</v>
      </c>
      <c r="J162" s="174">
        <f t="shared" si="66"/>
        <v>117.42179945747412</v>
      </c>
      <c r="K162" s="105"/>
    </row>
    <row r="163" spans="1:12" s="106" customFormat="1" ht="31.5" customHeight="1" thickBot="1" x14ac:dyDescent="0.3">
      <c r="A163" s="35">
        <v>1</v>
      </c>
      <c r="B163" s="116" t="s">
        <v>123</v>
      </c>
      <c r="C163" s="113">
        <v>22873</v>
      </c>
      <c r="D163" s="107">
        <f>ROUND(C163/12*$B$3,0)</f>
        <v>15249</v>
      </c>
      <c r="E163" s="113">
        <v>15247</v>
      </c>
      <c r="F163" s="113">
        <f>E163/D163*100</f>
        <v>99.986884385861359</v>
      </c>
      <c r="G163" s="596">
        <v>18550.460460000002</v>
      </c>
      <c r="H163" s="596">
        <f t="shared" si="69"/>
        <v>12366.97</v>
      </c>
      <c r="I163" s="596">
        <v>12365.621939999997</v>
      </c>
      <c r="J163" s="115">
        <f>I163/H163*100</f>
        <v>99.989099512653439</v>
      </c>
      <c r="K163" s="105"/>
      <c r="L163" s="723"/>
    </row>
    <row r="164" spans="1:12" ht="15" customHeight="1" thickBot="1" x14ac:dyDescent="0.3">
      <c r="A164" s="35">
        <v>1</v>
      </c>
      <c r="B164" s="119" t="s">
        <v>3</v>
      </c>
      <c r="C164" s="426"/>
      <c r="D164" s="426"/>
      <c r="E164" s="426"/>
      <c r="F164" s="610"/>
      <c r="G164" s="623">
        <f>G160+G157+G163</f>
        <v>56739.608460000003</v>
      </c>
      <c r="H164" s="623">
        <f>H160+H157+H163</f>
        <v>37826.410000000003</v>
      </c>
      <c r="I164" s="623">
        <f>I160+I157+I163</f>
        <v>37779.494609999994</v>
      </c>
      <c r="J164" s="426">
        <f t="shared" si="66"/>
        <v>99.875971867274714</v>
      </c>
      <c r="K164" s="105"/>
    </row>
    <row r="165" spans="1:12" ht="15" customHeight="1" x14ac:dyDescent="0.25">
      <c r="A165" s="35">
        <v>1</v>
      </c>
      <c r="B165" s="30"/>
      <c r="C165" s="142"/>
      <c r="D165" s="142"/>
      <c r="E165" s="142"/>
      <c r="F165" s="142"/>
      <c r="G165" s="356"/>
      <c r="H165" s="356"/>
      <c r="I165" s="356"/>
      <c r="J165" s="631"/>
      <c r="K165" s="105"/>
    </row>
    <row r="166" spans="1:12" ht="29.25" x14ac:dyDescent="0.25">
      <c r="A166" s="35">
        <v>1</v>
      </c>
      <c r="B166" s="73" t="s">
        <v>84</v>
      </c>
      <c r="C166" s="118"/>
      <c r="D166" s="118"/>
      <c r="E166" s="118"/>
      <c r="F166" s="118"/>
      <c r="G166" s="596"/>
      <c r="H166" s="596"/>
      <c r="I166" s="596"/>
      <c r="J166" s="113"/>
      <c r="K166" s="105"/>
    </row>
    <row r="167" spans="1:12" ht="30" x14ac:dyDescent="0.25">
      <c r="A167" s="35">
        <v>1</v>
      </c>
      <c r="B167" s="198" t="s">
        <v>120</v>
      </c>
      <c r="C167" s="113">
        <f>SUM(C168:C169)</f>
        <v>94</v>
      </c>
      <c r="D167" s="107">
        <f>SUM(D168:D169)</f>
        <v>62</v>
      </c>
      <c r="E167" s="113">
        <f>SUM(E168:E169)</f>
        <v>114</v>
      </c>
      <c r="F167" s="113">
        <f t="shared" ref="F167:F173" si="70">E167/D167*100</f>
        <v>183.87096774193549</v>
      </c>
      <c r="G167" s="596">
        <f>SUM(G168:G169)</f>
        <v>514.02960000000007</v>
      </c>
      <c r="H167" s="596">
        <f>SUM(H168:H169)</f>
        <v>342.68</v>
      </c>
      <c r="I167" s="596">
        <f>SUM(I168:I169)</f>
        <v>622.85074999999995</v>
      </c>
      <c r="J167" s="113">
        <f t="shared" ref="J167:J174" si="71">I167/H167*100</f>
        <v>181.75871075055443</v>
      </c>
      <c r="K167" s="105"/>
    </row>
    <row r="168" spans="1:12" ht="30" x14ac:dyDescent="0.25">
      <c r="A168" s="35">
        <v>1</v>
      </c>
      <c r="B168" s="71" t="s">
        <v>114</v>
      </c>
      <c r="C168" s="113">
        <v>29</v>
      </c>
      <c r="D168" s="107">
        <f>ROUND(C168/12*$B$3,0)</f>
        <v>19</v>
      </c>
      <c r="E168" s="113">
        <v>30</v>
      </c>
      <c r="F168" s="113">
        <f t="shared" si="70"/>
        <v>157.89473684210526</v>
      </c>
      <c r="G168" s="596">
        <v>158.58359999999999</v>
      </c>
      <c r="H168" s="596">
        <f t="shared" ref="H168:H169" si="72">ROUND(G168/12*$B$3,2)</f>
        <v>105.72</v>
      </c>
      <c r="I168" s="596">
        <v>164.05199999999999</v>
      </c>
      <c r="J168" s="113">
        <f t="shared" si="71"/>
        <v>155.17593643586832</v>
      </c>
      <c r="K168" s="105"/>
    </row>
    <row r="169" spans="1:12" ht="30" x14ac:dyDescent="0.25">
      <c r="A169" s="35">
        <v>1</v>
      </c>
      <c r="B169" s="71" t="s">
        <v>115</v>
      </c>
      <c r="C169" s="113">
        <v>65</v>
      </c>
      <c r="D169" s="107">
        <f>ROUND(C169/12*$B$3,0)</f>
        <v>43</v>
      </c>
      <c r="E169" s="113">
        <v>84</v>
      </c>
      <c r="F169" s="113">
        <f t="shared" si="70"/>
        <v>195.3488372093023</v>
      </c>
      <c r="G169" s="596">
        <v>355.44600000000003</v>
      </c>
      <c r="H169" s="596">
        <f t="shared" si="72"/>
        <v>236.96</v>
      </c>
      <c r="I169" s="596">
        <v>458.79874999999998</v>
      </c>
      <c r="J169" s="113">
        <f t="shared" si="71"/>
        <v>193.61864871708303</v>
      </c>
      <c r="K169" s="105"/>
    </row>
    <row r="170" spans="1:12" ht="30" x14ac:dyDescent="0.25">
      <c r="A170" s="35">
        <v>1</v>
      </c>
      <c r="B170" s="227" t="s">
        <v>112</v>
      </c>
      <c r="C170" s="113">
        <f>SUM(C171:C172)</f>
        <v>18325</v>
      </c>
      <c r="D170" s="107">
        <f>SUM(D171:D172)</f>
        <v>12217</v>
      </c>
      <c r="E170" s="113">
        <f>SUM(E171:E172)</f>
        <v>11642</v>
      </c>
      <c r="F170" s="113">
        <f t="shared" si="70"/>
        <v>95.293443562249323</v>
      </c>
      <c r="G170" s="596">
        <f>SUM(G171:G172)</f>
        <v>38610.814999999995</v>
      </c>
      <c r="H170" s="596">
        <f>SUM(H171:H172)</f>
        <v>25740.54</v>
      </c>
      <c r="I170" s="596">
        <f>SUM(I171:I172)</f>
        <v>21345.731620000002</v>
      </c>
      <c r="J170" s="113">
        <f t="shared" si="71"/>
        <v>82.926510554945636</v>
      </c>
      <c r="K170" s="105"/>
    </row>
    <row r="171" spans="1:12" ht="59.25" customHeight="1" x14ac:dyDescent="0.25">
      <c r="A171" s="35">
        <v>1</v>
      </c>
      <c r="B171" s="71" t="s">
        <v>118</v>
      </c>
      <c r="C171" s="113">
        <v>16002</v>
      </c>
      <c r="D171" s="107">
        <f>ROUND(C171/12*$B$3,0)</f>
        <v>10668</v>
      </c>
      <c r="E171" s="113">
        <v>9220</v>
      </c>
      <c r="F171" s="113">
        <f t="shared" si="70"/>
        <v>86.426696662917138</v>
      </c>
      <c r="G171" s="596">
        <f>36713388.6/1000</f>
        <v>36713.388599999998</v>
      </c>
      <c r="H171" s="596">
        <f t="shared" ref="H171:H173" si="73">ROUND(G171/12*$B$3,2)</f>
        <v>24475.59</v>
      </c>
      <c r="I171" s="596">
        <v>18961.775990000002</v>
      </c>
      <c r="J171" s="113">
        <f t="shared" si="71"/>
        <v>77.472191640732675</v>
      </c>
      <c r="K171" s="105"/>
    </row>
    <row r="172" spans="1:12" ht="45" x14ac:dyDescent="0.25">
      <c r="A172" s="35">
        <v>1</v>
      </c>
      <c r="B172" s="71" t="s">
        <v>109</v>
      </c>
      <c r="C172" s="113">
        <v>2323</v>
      </c>
      <c r="D172" s="107">
        <f>ROUND(C172/12*$B$3,0)</f>
        <v>1549</v>
      </c>
      <c r="E172" s="113">
        <v>2422</v>
      </c>
      <c r="F172" s="113">
        <f t="shared" si="70"/>
        <v>156.35894125242092</v>
      </c>
      <c r="G172" s="596">
        <f>1897426.4/1000</f>
        <v>1897.4263999999998</v>
      </c>
      <c r="H172" s="596">
        <f t="shared" si="73"/>
        <v>1264.95</v>
      </c>
      <c r="I172" s="596">
        <v>2383.9556299999999</v>
      </c>
      <c r="J172" s="113">
        <f t="shared" si="71"/>
        <v>188.46243962211943</v>
      </c>
      <c r="K172" s="105"/>
    </row>
    <row r="173" spans="1:12" s="106" customFormat="1" ht="31.5" customHeight="1" thickBot="1" x14ac:dyDescent="0.3">
      <c r="A173" s="35">
        <v>1</v>
      </c>
      <c r="B173" s="116" t="s">
        <v>123</v>
      </c>
      <c r="C173" s="113">
        <v>13728</v>
      </c>
      <c r="D173" s="107">
        <f>ROUND(C173/12*$B$3,0)</f>
        <v>9152</v>
      </c>
      <c r="E173" s="113">
        <v>9069</v>
      </c>
      <c r="F173" s="113">
        <f t="shared" si="70"/>
        <v>99.0930944055944</v>
      </c>
      <c r="G173" s="596">
        <v>11133.682560000001</v>
      </c>
      <c r="H173" s="596">
        <f t="shared" si="73"/>
        <v>7422.46</v>
      </c>
      <c r="I173" s="596">
        <v>7304.9555400000008</v>
      </c>
      <c r="J173" s="113">
        <f t="shared" si="71"/>
        <v>98.416906793704527</v>
      </c>
      <c r="K173" s="105"/>
      <c r="L173" s="723"/>
    </row>
    <row r="174" spans="1:12" ht="15.75" thickBot="1" x14ac:dyDescent="0.3">
      <c r="A174" s="35">
        <v>1</v>
      </c>
      <c r="B174" s="379" t="s">
        <v>3</v>
      </c>
      <c r="C174" s="609"/>
      <c r="D174" s="609"/>
      <c r="E174" s="609"/>
      <c r="F174" s="630"/>
      <c r="G174" s="627">
        <f>G170+G167+G173</f>
        <v>50258.527159999998</v>
      </c>
      <c r="H174" s="627">
        <f>H170+H167+H173</f>
        <v>33505.68</v>
      </c>
      <c r="I174" s="627">
        <f>I170+I167+I173</f>
        <v>29273.537910000006</v>
      </c>
      <c r="J174" s="426">
        <f t="shared" si="71"/>
        <v>87.368881664243219</v>
      </c>
      <c r="K174" s="105"/>
    </row>
    <row r="175" spans="1:12" ht="15" customHeight="1" x14ac:dyDescent="0.25">
      <c r="A175" s="35">
        <v>1</v>
      </c>
      <c r="B175" s="30"/>
      <c r="C175" s="142"/>
      <c r="D175" s="142"/>
      <c r="E175" s="142"/>
      <c r="F175" s="142"/>
      <c r="G175" s="356"/>
      <c r="H175" s="356"/>
      <c r="I175" s="356"/>
      <c r="J175" s="631"/>
      <c r="K175" s="105"/>
    </row>
    <row r="176" spans="1:12" ht="31.5" customHeight="1" x14ac:dyDescent="0.25">
      <c r="A176" s="35">
        <v>1</v>
      </c>
      <c r="B176" s="73" t="s">
        <v>85</v>
      </c>
      <c r="C176" s="118"/>
      <c r="D176" s="118"/>
      <c r="E176" s="118"/>
      <c r="F176" s="118"/>
      <c r="G176" s="596"/>
      <c r="H176" s="596"/>
      <c r="I176" s="596"/>
      <c r="J176" s="118"/>
      <c r="K176" s="105"/>
    </row>
    <row r="177" spans="1:12" ht="45" customHeight="1" x14ac:dyDescent="0.25">
      <c r="A177" s="35">
        <v>1</v>
      </c>
      <c r="B177" s="198" t="s">
        <v>120</v>
      </c>
      <c r="C177" s="113">
        <f>SUM(C178:C179)</f>
        <v>224</v>
      </c>
      <c r="D177" s="113">
        <f>SUM(D178:D179)</f>
        <v>149</v>
      </c>
      <c r="E177" s="113">
        <f>SUM(E178:E179)</f>
        <v>217</v>
      </c>
      <c r="F177" s="113">
        <f t="shared" ref="F177:F183" si="74">E177/D177*100</f>
        <v>145.63758389261744</v>
      </c>
      <c r="G177" s="596">
        <f>SUM(G178:G179)</f>
        <v>1224.9215999999999</v>
      </c>
      <c r="H177" s="596">
        <f>SUM(H178:H179)</f>
        <v>816.61000000000013</v>
      </c>
      <c r="I177" s="596">
        <f>SUM(I178:I179)</f>
        <v>1181.1744000000001</v>
      </c>
      <c r="J177" s="113">
        <f t="shared" ref="J177:J184" si="75">I177/H177*100</f>
        <v>144.64363649722634</v>
      </c>
      <c r="K177" s="105"/>
    </row>
    <row r="178" spans="1:12" ht="30" x14ac:dyDescent="0.25">
      <c r="A178" s="35">
        <v>1</v>
      </c>
      <c r="B178" s="71" t="s">
        <v>114</v>
      </c>
      <c r="C178" s="113">
        <v>143</v>
      </c>
      <c r="D178" s="107">
        <f>ROUND(C178/12*$B$3,0)</f>
        <v>95</v>
      </c>
      <c r="E178" s="107">
        <v>143</v>
      </c>
      <c r="F178" s="113">
        <f t="shared" si="74"/>
        <v>150.5263157894737</v>
      </c>
      <c r="G178" s="596">
        <v>781.98119999999994</v>
      </c>
      <c r="H178" s="596">
        <f t="shared" ref="H178:H179" si="76">ROUND(G178/12*$B$3,2)</f>
        <v>521.32000000000005</v>
      </c>
      <c r="I178" s="596">
        <v>781.98120000000006</v>
      </c>
      <c r="J178" s="113">
        <f t="shared" si="75"/>
        <v>150.00023018491521</v>
      </c>
      <c r="K178" s="105"/>
    </row>
    <row r="179" spans="1:12" ht="35.1" customHeight="1" x14ac:dyDescent="0.25">
      <c r="A179" s="35">
        <v>1</v>
      </c>
      <c r="B179" s="71" t="s">
        <v>115</v>
      </c>
      <c r="C179" s="113">
        <v>81</v>
      </c>
      <c r="D179" s="107">
        <f>ROUND(C179/12*$B$3,0)</f>
        <v>54</v>
      </c>
      <c r="E179" s="113">
        <v>74</v>
      </c>
      <c r="F179" s="113">
        <f t="shared" si="74"/>
        <v>137.03703703703704</v>
      </c>
      <c r="G179" s="596">
        <v>442.94039999999995</v>
      </c>
      <c r="H179" s="596">
        <f t="shared" si="76"/>
        <v>295.29000000000002</v>
      </c>
      <c r="I179" s="596">
        <v>399.19319999999999</v>
      </c>
      <c r="J179" s="113">
        <f t="shared" si="75"/>
        <v>135.18683328253582</v>
      </c>
      <c r="K179" s="105"/>
    </row>
    <row r="180" spans="1:12" ht="39.75" customHeight="1" x14ac:dyDescent="0.25">
      <c r="A180" s="35">
        <v>1</v>
      </c>
      <c r="B180" s="198" t="s">
        <v>112</v>
      </c>
      <c r="C180" s="113">
        <f>SUM(C181:C182)</f>
        <v>19850</v>
      </c>
      <c r="D180" s="113">
        <f>SUM(D181:D182)</f>
        <v>13233</v>
      </c>
      <c r="E180" s="113">
        <f>SUM(E181:E182)</f>
        <v>13444</v>
      </c>
      <c r="F180" s="113">
        <f t="shared" si="74"/>
        <v>101.59449860197989</v>
      </c>
      <c r="G180" s="596">
        <f>SUM(G181:G182)</f>
        <v>35716.479999999996</v>
      </c>
      <c r="H180" s="596">
        <f>SUM(H181:H182)</f>
        <v>23810.99</v>
      </c>
      <c r="I180" s="596">
        <f>SUM(I181:I182)</f>
        <v>23432.142570000004</v>
      </c>
      <c r="J180" s="113">
        <f t="shared" si="75"/>
        <v>98.408938771550453</v>
      </c>
      <c r="K180" s="105"/>
    </row>
    <row r="181" spans="1:12" ht="61.5" customHeight="1" x14ac:dyDescent="0.25">
      <c r="A181" s="35">
        <v>1</v>
      </c>
      <c r="B181" s="71" t="s">
        <v>118</v>
      </c>
      <c r="C181" s="113">
        <v>13200</v>
      </c>
      <c r="D181" s="107">
        <f>ROUND(C181/12*$B$3,0)</f>
        <v>8800</v>
      </c>
      <c r="E181" s="107">
        <v>9011</v>
      </c>
      <c r="F181" s="113">
        <f t="shared" si="74"/>
        <v>102.39772727272727</v>
      </c>
      <c r="G181" s="596">
        <f>30284760/1000</f>
        <v>30284.76</v>
      </c>
      <c r="H181" s="596">
        <f t="shared" ref="H181:H183" si="77">ROUND(G181/12*$B$3,2)</f>
        <v>20189.84</v>
      </c>
      <c r="I181" s="596">
        <v>19419.613900000004</v>
      </c>
      <c r="J181" s="113">
        <f t="shared" si="75"/>
        <v>96.185080713864025</v>
      </c>
      <c r="K181" s="105"/>
    </row>
    <row r="182" spans="1:12" ht="45" x14ac:dyDescent="0.25">
      <c r="A182" s="35">
        <v>1</v>
      </c>
      <c r="B182" s="71" t="s">
        <v>109</v>
      </c>
      <c r="C182" s="113">
        <v>6650</v>
      </c>
      <c r="D182" s="107">
        <f>ROUND(C182/12*$B$3,0)</f>
        <v>4433</v>
      </c>
      <c r="E182" s="107">
        <v>4433</v>
      </c>
      <c r="F182" s="113">
        <f t="shared" si="74"/>
        <v>100</v>
      </c>
      <c r="G182" s="596">
        <f>5431720/1000</f>
        <v>5431.72</v>
      </c>
      <c r="H182" s="596">
        <f t="shared" si="77"/>
        <v>3621.15</v>
      </c>
      <c r="I182" s="596">
        <v>4012.5286699999992</v>
      </c>
      <c r="J182" s="113">
        <f t="shared" si="75"/>
        <v>110.80813194703339</v>
      </c>
      <c r="K182" s="105"/>
    </row>
    <row r="183" spans="1:12" s="106" customFormat="1" ht="31.5" customHeight="1" thickBot="1" x14ac:dyDescent="0.3">
      <c r="A183" s="35">
        <v>1</v>
      </c>
      <c r="B183" s="116" t="s">
        <v>123</v>
      </c>
      <c r="C183" s="113">
        <v>10269</v>
      </c>
      <c r="D183" s="107">
        <f>ROUND(C183/12*$B$3,0)</f>
        <v>6846</v>
      </c>
      <c r="E183" s="113">
        <v>6847</v>
      </c>
      <c r="F183" s="113">
        <f t="shared" si="74"/>
        <v>100.01460706982179</v>
      </c>
      <c r="G183" s="596">
        <v>8328.3643799999991</v>
      </c>
      <c r="H183" s="596">
        <f t="shared" si="77"/>
        <v>5552.24</v>
      </c>
      <c r="I183" s="596">
        <v>5552.9865199999995</v>
      </c>
      <c r="J183" s="113">
        <f t="shared" si="75"/>
        <v>100.01344538420528</v>
      </c>
      <c r="K183" s="105"/>
      <c r="L183" s="723"/>
    </row>
    <row r="184" spans="1:12" ht="15.75" thickBot="1" x14ac:dyDescent="0.3">
      <c r="A184" s="35">
        <v>1</v>
      </c>
      <c r="B184" s="299" t="s">
        <v>3</v>
      </c>
      <c r="C184" s="609"/>
      <c r="D184" s="609"/>
      <c r="E184" s="609"/>
      <c r="F184" s="632"/>
      <c r="G184" s="627">
        <f>G180+G177+G183</f>
        <v>45269.765979999996</v>
      </c>
      <c r="H184" s="627">
        <f>H180+H177+H183</f>
        <v>30179.840000000004</v>
      </c>
      <c r="I184" s="627">
        <f>I180+I177+I183</f>
        <v>30166.303490000002</v>
      </c>
      <c r="J184" s="426">
        <f t="shared" si="75"/>
        <v>99.955147177718629</v>
      </c>
      <c r="K184" s="105"/>
    </row>
    <row r="185" spans="1:12" ht="15" customHeight="1" x14ac:dyDescent="0.25">
      <c r="A185" s="35">
        <v>1</v>
      </c>
      <c r="B185" s="78"/>
      <c r="C185" s="104"/>
      <c r="D185" s="104"/>
      <c r="E185" s="104"/>
      <c r="F185" s="430"/>
      <c r="G185" s="357"/>
      <c r="H185" s="357"/>
      <c r="I185" s="357"/>
      <c r="J185" s="633"/>
      <c r="K185" s="105"/>
    </row>
    <row r="186" spans="1:12" ht="43.5" x14ac:dyDescent="0.25">
      <c r="A186" s="35">
        <v>1</v>
      </c>
      <c r="B186" s="296" t="s">
        <v>86</v>
      </c>
      <c r="C186" s="142"/>
      <c r="D186" s="142"/>
      <c r="E186" s="142"/>
      <c r="F186" s="142"/>
      <c r="G186" s="596"/>
      <c r="H186" s="596"/>
      <c r="I186" s="596"/>
      <c r="J186" s="634"/>
      <c r="K186" s="105"/>
    </row>
    <row r="187" spans="1:12" ht="30" customHeight="1" x14ac:dyDescent="0.25">
      <c r="A187" s="35">
        <v>1</v>
      </c>
      <c r="B187" s="227" t="s">
        <v>120</v>
      </c>
      <c r="C187" s="113">
        <f>SUM(C188:C191)</f>
        <v>6522</v>
      </c>
      <c r="D187" s="113">
        <f t="shared" ref="D187:E187" si="78">SUM(D188:D191)</f>
        <v>4348</v>
      </c>
      <c r="E187" s="113">
        <f t="shared" si="78"/>
        <v>2961</v>
      </c>
      <c r="F187" s="113">
        <f t="shared" ref="F187:F197" si="79">E187/D187*100</f>
        <v>68.100275988960448</v>
      </c>
      <c r="G187" s="596">
        <f t="shared" ref="G187:I187" si="80">SUM(G188:G191)</f>
        <v>8133.5897499999992</v>
      </c>
      <c r="H187" s="596">
        <f t="shared" si="80"/>
        <v>5422.39</v>
      </c>
      <c r="I187" s="596">
        <f t="shared" si="80"/>
        <v>3654.9109100000001</v>
      </c>
      <c r="J187" s="113">
        <f t="shared" ref="J187:J198" si="81">I187/H187*100</f>
        <v>67.404058173609798</v>
      </c>
      <c r="K187" s="105"/>
    </row>
    <row r="188" spans="1:12" ht="27" customHeight="1" x14ac:dyDescent="0.25">
      <c r="A188" s="35">
        <v>1</v>
      </c>
      <c r="B188" s="71" t="s">
        <v>79</v>
      </c>
      <c r="C188" s="113">
        <v>5000</v>
      </c>
      <c r="D188" s="107">
        <f t="shared" ref="D188:D189" si="82">ROUND(C188/12*$B$3,0)</f>
        <v>3333</v>
      </c>
      <c r="E188" s="113">
        <v>2616</v>
      </c>
      <c r="F188" s="113">
        <f t="shared" si="79"/>
        <v>78.487848784878494</v>
      </c>
      <c r="G188" s="596">
        <v>5846.8857999999991</v>
      </c>
      <c r="H188" s="596">
        <f t="shared" ref="H188:H191" si="83">ROUND(G188/12*$B$3,2)</f>
        <v>3897.92</v>
      </c>
      <c r="I188" s="596">
        <v>2971.1929</v>
      </c>
      <c r="J188" s="113">
        <f t="shared" si="81"/>
        <v>76.225086712913551</v>
      </c>
      <c r="K188" s="105"/>
    </row>
    <row r="189" spans="1:12" ht="30" customHeight="1" x14ac:dyDescent="0.25">
      <c r="A189" s="35">
        <v>1</v>
      </c>
      <c r="B189" s="71" t="s">
        <v>80</v>
      </c>
      <c r="C189" s="174">
        <v>1500</v>
      </c>
      <c r="D189" s="300">
        <f t="shared" si="82"/>
        <v>1000</v>
      </c>
      <c r="E189" s="174">
        <v>293</v>
      </c>
      <c r="F189" s="174">
        <f t="shared" si="79"/>
        <v>29.299999999999997</v>
      </c>
      <c r="G189" s="596">
        <v>2166.3991499999997</v>
      </c>
      <c r="H189" s="596">
        <f t="shared" si="83"/>
        <v>1444.27</v>
      </c>
      <c r="I189" s="596">
        <v>399.36120999999997</v>
      </c>
      <c r="J189" s="113">
        <f t="shared" si="81"/>
        <v>27.651423210341552</v>
      </c>
      <c r="K189" s="105"/>
    </row>
    <row r="190" spans="1:12" ht="30" customHeight="1" x14ac:dyDescent="0.25">
      <c r="B190" s="71" t="s">
        <v>114</v>
      </c>
      <c r="C190" s="174"/>
      <c r="D190" s="300"/>
      <c r="E190" s="174"/>
      <c r="F190" s="320"/>
      <c r="G190" s="596"/>
      <c r="H190" s="596">
        <f t="shared" si="83"/>
        <v>0</v>
      </c>
      <c r="I190" s="596"/>
      <c r="J190" s="621"/>
      <c r="K190" s="105"/>
    </row>
    <row r="191" spans="1:12" ht="30" customHeight="1" x14ac:dyDescent="0.25">
      <c r="B191" s="71" t="s">
        <v>115</v>
      </c>
      <c r="C191" s="174">
        <v>22</v>
      </c>
      <c r="D191" s="300">
        <f>ROUND(C191/12*$B$3,0)</f>
        <v>15</v>
      </c>
      <c r="E191" s="174">
        <v>52</v>
      </c>
      <c r="F191" s="320"/>
      <c r="G191" s="596">
        <v>120.30479999999999</v>
      </c>
      <c r="H191" s="596">
        <f t="shared" si="83"/>
        <v>80.2</v>
      </c>
      <c r="I191" s="596">
        <v>284.35680000000002</v>
      </c>
      <c r="J191" s="113">
        <f t="shared" ref="J191" si="84">I191/H191*100</f>
        <v>354.55960099750621</v>
      </c>
      <c r="K191" s="105"/>
    </row>
    <row r="192" spans="1:12" ht="30" customHeight="1" x14ac:dyDescent="0.25">
      <c r="A192" s="35">
        <v>1</v>
      </c>
      <c r="B192" s="227" t="s">
        <v>112</v>
      </c>
      <c r="C192" s="113">
        <f>SUM(C193:C195)</f>
        <v>8600</v>
      </c>
      <c r="D192" s="113">
        <f t="shared" ref="D192:E192" si="85">SUM(D193:D195)</f>
        <v>5733</v>
      </c>
      <c r="E192" s="113">
        <f t="shared" si="85"/>
        <v>5056</v>
      </c>
      <c r="F192" s="320">
        <f t="shared" si="79"/>
        <v>88.191173905459621</v>
      </c>
      <c r="G192" s="596">
        <f t="shared" ref="G192" si="86">SUM(G193:G195)</f>
        <v>14878.06</v>
      </c>
      <c r="H192" s="596">
        <f t="shared" ref="H192" si="87">SUM(H193:H195)</f>
        <v>9918.7099999999991</v>
      </c>
      <c r="I192" s="596">
        <f t="shared" ref="I192" si="88">SUM(I193:I195)</f>
        <v>9342.2790999999997</v>
      </c>
      <c r="J192" s="635">
        <f t="shared" si="81"/>
        <v>94.188448901117184</v>
      </c>
      <c r="K192" s="105"/>
    </row>
    <row r="193" spans="1:12" ht="30" customHeight="1" x14ac:dyDescent="0.25">
      <c r="A193" s="35">
        <v>1</v>
      </c>
      <c r="B193" s="286" t="s">
        <v>108</v>
      </c>
      <c r="C193" s="113">
        <v>3600</v>
      </c>
      <c r="D193" s="107">
        <f t="shared" ref="D193:D196" si="89">ROUND(C193/12*$B$3,0)</f>
        <v>2400</v>
      </c>
      <c r="E193" s="318">
        <v>2218</v>
      </c>
      <c r="F193" s="174">
        <f t="shared" si="79"/>
        <v>92.416666666666671</v>
      </c>
      <c r="G193" s="596">
        <f>6361560/1000</f>
        <v>6361.56</v>
      </c>
      <c r="H193" s="596">
        <f t="shared" ref="H193:H197" si="90">ROUND(G193/12*$B$3,2)</f>
        <v>4241.04</v>
      </c>
      <c r="I193" s="596">
        <v>3855.0302800000004</v>
      </c>
      <c r="J193" s="635">
        <f t="shared" si="81"/>
        <v>90.898229679512582</v>
      </c>
      <c r="K193" s="105"/>
    </row>
    <row r="194" spans="1:12" ht="66" customHeight="1" x14ac:dyDescent="0.25">
      <c r="B194" s="71" t="s">
        <v>118</v>
      </c>
      <c r="C194" s="631">
        <v>3000</v>
      </c>
      <c r="D194" s="620">
        <f t="shared" si="89"/>
        <v>2000</v>
      </c>
      <c r="E194" s="113">
        <v>1484</v>
      </c>
      <c r="F194" s="174">
        <f t="shared" si="79"/>
        <v>74.2</v>
      </c>
      <c r="G194" s="596">
        <f>6882900/1000</f>
        <v>6882.9</v>
      </c>
      <c r="H194" s="596">
        <f t="shared" si="90"/>
        <v>4588.6000000000004</v>
      </c>
      <c r="I194" s="596">
        <v>4308.7428899999995</v>
      </c>
      <c r="J194" s="635">
        <f t="shared" si="81"/>
        <v>93.901034956195772</v>
      </c>
      <c r="K194" s="105"/>
    </row>
    <row r="195" spans="1:12" ht="58.5" customHeight="1" x14ac:dyDescent="0.25">
      <c r="B195" s="71" t="s">
        <v>109</v>
      </c>
      <c r="C195" s="318">
        <v>2000</v>
      </c>
      <c r="D195" s="107">
        <f t="shared" si="89"/>
        <v>1333</v>
      </c>
      <c r="E195" s="318">
        <v>1354</v>
      </c>
      <c r="F195" s="174">
        <f t="shared" si="79"/>
        <v>101.57539384846213</v>
      </c>
      <c r="G195" s="596">
        <f>1633600/1000</f>
        <v>1633.6</v>
      </c>
      <c r="H195" s="596">
        <f t="shared" si="90"/>
        <v>1089.07</v>
      </c>
      <c r="I195" s="596">
        <v>1178.5059299999998</v>
      </c>
      <c r="J195" s="635">
        <f t="shared" si="81"/>
        <v>108.21213787910786</v>
      </c>
      <c r="K195" s="105"/>
    </row>
    <row r="196" spans="1:12" s="106" customFormat="1" ht="31.5" customHeight="1" x14ac:dyDescent="0.25">
      <c r="A196" s="35">
        <v>1</v>
      </c>
      <c r="B196" s="116" t="s">
        <v>123</v>
      </c>
      <c r="C196" s="113">
        <v>18200</v>
      </c>
      <c r="D196" s="107">
        <f t="shared" si="89"/>
        <v>12133</v>
      </c>
      <c r="E196" s="113">
        <f>9616+E197</f>
        <v>10564</v>
      </c>
      <c r="F196" s="113">
        <f t="shared" si="79"/>
        <v>87.068326052913534</v>
      </c>
      <c r="G196" s="596">
        <v>14760.564</v>
      </c>
      <c r="H196" s="596">
        <f t="shared" si="90"/>
        <v>9840.3799999999992</v>
      </c>
      <c r="I196" s="596">
        <f>7758.98564+I197</f>
        <v>8525.3899000000001</v>
      </c>
      <c r="J196" s="113">
        <f t="shared" si="81"/>
        <v>86.63679553025392</v>
      </c>
      <c r="K196" s="105"/>
      <c r="L196" s="723"/>
    </row>
    <row r="197" spans="1:12" s="106" customFormat="1" ht="26.25" customHeight="1" thickBot="1" x14ac:dyDescent="0.3">
      <c r="A197" s="35">
        <v>1</v>
      </c>
      <c r="B197" s="116" t="s">
        <v>125</v>
      </c>
      <c r="C197" s="113">
        <v>786</v>
      </c>
      <c r="D197" s="107">
        <f>ROUND(C197/12*$B$3,0)</f>
        <v>524</v>
      </c>
      <c r="E197" s="113">
        <v>948</v>
      </c>
      <c r="F197" s="113">
        <f t="shared" si="79"/>
        <v>180.91603053435114</v>
      </c>
      <c r="G197" s="596">
        <v>637.46172000000001</v>
      </c>
      <c r="H197" s="596">
        <f t="shared" si="90"/>
        <v>424.97</v>
      </c>
      <c r="I197" s="596">
        <v>766.40425999999991</v>
      </c>
      <c r="J197" s="113">
        <f>I197/E197*100</f>
        <v>80.844331223628686</v>
      </c>
      <c r="K197" s="105"/>
      <c r="L197" s="723"/>
    </row>
    <row r="198" spans="1:12" ht="15.75" thickBot="1" x14ac:dyDescent="0.3">
      <c r="A198" s="35">
        <v>1</v>
      </c>
      <c r="B198" s="302" t="s">
        <v>3</v>
      </c>
      <c r="C198" s="609"/>
      <c r="D198" s="609"/>
      <c r="E198" s="609"/>
      <c r="F198" s="610"/>
      <c r="G198" s="611">
        <f>G192+G187+G196</f>
        <v>37772.213749999995</v>
      </c>
      <c r="H198" s="611">
        <f>H192+H187+H196</f>
        <v>25181.479999999996</v>
      </c>
      <c r="I198" s="611">
        <f>I192+I187+I196</f>
        <v>21522.57991</v>
      </c>
      <c r="J198" s="426">
        <f t="shared" si="81"/>
        <v>85.469876710979676</v>
      </c>
      <c r="K198" s="105"/>
    </row>
    <row r="199" spans="1:12" ht="15" customHeight="1" x14ac:dyDescent="0.25">
      <c r="A199" s="35">
        <v>1</v>
      </c>
      <c r="B199" s="8"/>
      <c r="C199" s="140"/>
      <c r="D199" s="140"/>
      <c r="E199" s="140"/>
      <c r="F199" s="140"/>
      <c r="G199" s="358"/>
      <c r="H199" s="358"/>
      <c r="I199" s="358"/>
      <c r="J199" s="139"/>
      <c r="K199" s="105"/>
    </row>
    <row r="200" spans="1:12" ht="43.5" customHeight="1" x14ac:dyDescent="0.25">
      <c r="A200" s="35">
        <v>1</v>
      </c>
      <c r="B200" s="73" t="s">
        <v>127</v>
      </c>
      <c r="C200" s="118"/>
      <c r="D200" s="118"/>
      <c r="E200" s="118"/>
      <c r="F200" s="118"/>
      <c r="G200" s="344"/>
      <c r="H200" s="344"/>
      <c r="I200" s="344"/>
      <c r="J200" s="154"/>
      <c r="K200" s="105"/>
    </row>
    <row r="201" spans="1:12" ht="26.25" customHeight="1" x14ac:dyDescent="0.25">
      <c r="A201" s="35">
        <v>1</v>
      </c>
      <c r="B201" s="227" t="s">
        <v>120</v>
      </c>
      <c r="C201" s="113">
        <f>SUM(C202:C203)</f>
        <v>695</v>
      </c>
      <c r="D201" s="113">
        <f>SUM(D202:D203)</f>
        <v>464</v>
      </c>
      <c r="E201" s="113">
        <f>SUM(E202:E203)</f>
        <v>374</v>
      </c>
      <c r="F201" s="113">
        <f t="shared" ref="F201:F206" si="91">E201/D201*100</f>
        <v>80.603448275862064</v>
      </c>
      <c r="G201" s="596">
        <f>SUM(G202:G203)</f>
        <v>876.21408999999994</v>
      </c>
      <c r="H201" s="596">
        <f>SUM(H202:H203)</f>
        <v>584.14</v>
      </c>
      <c r="I201" s="596">
        <f>SUM(I202:I203)</f>
        <v>418.94722999999993</v>
      </c>
      <c r="J201" s="113">
        <f t="shared" ref="J201:J207" si="92">I201/H201*100</f>
        <v>71.720346149895562</v>
      </c>
      <c r="K201" s="105"/>
    </row>
    <row r="202" spans="1:12" ht="30.75" customHeight="1" x14ac:dyDescent="0.25">
      <c r="A202" s="35">
        <v>1</v>
      </c>
      <c r="B202" s="71" t="s">
        <v>79</v>
      </c>
      <c r="C202" s="113">
        <v>535</v>
      </c>
      <c r="D202" s="107">
        <f>ROUND(C202/12*$B$3,0)</f>
        <v>357</v>
      </c>
      <c r="E202" s="113">
        <v>261</v>
      </c>
      <c r="F202" s="113">
        <f t="shared" si="91"/>
        <v>73.109243697478988</v>
      </c>
      <c r="G202" s="596">
        <v>626.74639999999999</v>
      </c>
      <c r="H202" s="596">
        <f t="shared" ref="H202:H203" si="93">ROUND(G202/12*$B$3,2)</f>
        <v>417.83</v>
      </c>
      <c r="I202" s="596">
        <v>250.68253999999993</v>
      </c>
      <c r="J202" s="113">
        <f t="shared" si="92"/>
        <v>59.996299930593764</v>
      </c>
      <c r="K202" s="105"/>
    </row>
    <row r="203" spans="1:12" ht="33" customHeight="1" x14ac:dyDescent="0.25">
      <c r="A203" s="35">
        <v>1</v>
      </c>
      <c r="B203" s="71" t="s">
        <v>80</v>
      </c>
      <c r="C203" s="113">
        <v>160</v>
      </c>
      <c r="D203" s="107">
        <f>ROUND(C203/12*$B$3,0)</f>
        <v>107</v>
      </c>
      <c r="E203" s="113">
        <v>113</v>
      </c>
      <c r="F203" s="174">
        <f t="shared" si="91"/>
        <v>105.60747663551402</v>
      </c>
      <c r="G203" s="596">
        <v>249.46768999999998</v>
      </c>
      <c r="H203" s="596">
        <f t="shared" si="93"/>
        <v>166.31</v>
      </c>
      <c r="I203" s="596">
        <v>168.26469</v>
      </c>
      <c r="J203" s="113">
        <f t="shared" si="92"/>
        <v>101.17532920449763</v>
      </c>
      <c r="K203" s="105"/>
    </row>
    <row r="204" spans="1:12" ht="30" x14ac:dyDescent="0.25">
      <c r="A204" s="35">
        <v>1</v>
      </c>
      <c r="B204" s="227" t="s">
        <v>112</v>
      </c>
      <c r="C204" s="174">
        <f>SUM(C205)</f>
        <v>300</v>
      </c>
      <c r="D204" s="174">
        <f t="shared" ref="D204:I204" si="94">SUM(D205)</f>
        <v>200</v>
      </c>
      <c r="E204" s="174">
        <f t="shared" si="94"/>
        <v>112</v>
      </c>
      <c r="F204" s="174">
        <f t="shared" si="91"/>
        <v>56.000000000000007</v>
      </c>
      <c r="G204" s="596">
        <f>SUM(G205)</f>
        <v>530.13</v>
      </c>
      <c r="H204" s="596">
        <f t="shared" si="94"/>
        <v>353.42</v>
      </c>
      <c r="I204" s="596">
        <f t="shared" si="94"/>
        <v>185.29650000000001</v>
      </c>
      <c r="J204" s="113">
        <f t="shared" si="92"/>
        <v>52.429545583158841</v>
      </c>
      <c r="K204" s="105"/>
    </row>
    <row r="205" spans="1:12" ht="33" customHeight="1" x14ac:dyDescent="0.25">
      <c r="A205" s="35">
        <v>1</v>
      </c>
      <c r="B205" s="286" t="s">
        <v>108</v>
      </c>
      <c r="C205" s="174">
        <v>300</v>
      </c>
      <c r="D205" s="300">
        <f>ROUND(C205/12*$B$3,0)</f>
        <v>200</v>
      </c>
      <c r="E205" s="320">
        <v>112</v>
      </c>
      <c r="F205" s="174">
        <f t="shared" si="91"/>
        <v>56.000000000000007</v>
      </c>
      <c r="G205" s="596">
        <f>530130/1000</f>
        <v>530.13</v>
      </c>
      <c r="H205" s="596">
        <f t="shared" ref="H205:H206" si="95">ROUND(G205/12*$B$3,2)</f>
        <v>353.42</v>
      </c>
      <c r="I205" s="596">
        <v>185.29650000000001</v>
      </c>
      <c r="J205" s="174">
        <f t="shared" si="92"/>
        <v>52.429545583158841</v>
      </c>
      <c r="K205" s="105"/>
    </row>
    <row r="206" spans="1:12" s="106" customFormat="1" ht="31.5" customHeight="1" thickBot="1" x14ac:dyDescent="0.3">
      <c r="A206" s="35">
        <v>1</v>
      </c>
      <c r="B206" s="116" t="s">
        <v>123</v>
      </c>
      <c r="C206" s="113">
        <v>450</v>
      </c>
      <c r="D206" s="107">
        <f>ROUND(C206/12*$B$3,0)</f>
        <v>300</v>
      </c>
      <c r="E206" s="113">
        <v>47</v>
      </c>
      <c r="F206" s="113">
        <f t="shared" si="91"/>
        <v>15.666666666666668</v>
      </c>
      <c r="G206" s="596">
        <v>364.959</v>
      </c>
      <c r="H206" s="596">
        <f t="shared" si="95"/>
        <v>243.31</v>
      </c>
      <c r="I206" s="596">
        <v>36.902359999999994</v>
      </c>
      <c r="J206" s="113">
        <f t="shared" si="92"/>
        <v>15.166807776088115</v>
      </c>
      <c r="K206" s="105"/>
      <c r="L206" s="723"/>
    </row>
    <row r="207" spans="1:12" ht="15.75" thickBot="1" x14ac:dyDescent="0.3">
      <c r="A207" s="35">
        <v>1</v>
      </c>
      <c r="B207" s="119" t="s">
        <v>3</v>
      </c>
      <c r="C207" s="426"/>
      <c r="D207" s="426"/>
      <c r="E207" s="426"/>
      <c r="F207" s="610"/>
      <c r="G207" s="623">
        <f>G204+G201+G206</f>
        <v>1771.3030900000001</v>
      </c>
      <c r="H207" s="623">
        <f>H204+H201+H206</f>
        <v>1180.8699999999999</v>
      </c>
      <c r="I207" s="623">
        <f>I204+I201+I206</f>
        <v>641.14608999999996</v>
      </c>
      <c r="J207" s="426">
        <f t="shared" si="92"/>
        <v>54.294383801773272</v>
      </c>
      <c r="K207" s="105"/>
    </row>
    <row r="208" spans="1:12" ht="15" hidden="1" customHeight="1" x14ac:dyDescent="0.25">
      <c r="A208" s="35">
        <v>1</v>
      </c>
      <c r="B208" s="81"/>
      <c r="C208" s="143"/>
      <c r="D208" s="143"/>
      <c r="E208" s="143"/>
      <c r="F208" s="142"/>
      <c r="G208" s="353"/>
      <c r="H208" s="353"/>
      <c r="I208" s="353"/>
      <c r="J208" s="143"/>
      <c r="K208" s="105"/>
    </row>
    <row r="209" spans="1:12" ht="29.25" hidden="1" customHeight="1" x14ac:dyDescent="0.25">
      <c r="B209" s="683"/>
      <c r="C209" s="684"/>
      <c r="D209" s="684"/>
      <c r="E209" s="684"/>
      <c r="F209" s="685"/>
      <c r="G209" s="446"/>
      <c r="H209" s="446"/>
      <c r="I209" s="446"/>
      <c r="J209" s="144"/>
      <c r="K209" s="105"/>
    </row>
    <row r="210" spans="1:12" ht="30.75" hidden="1" customHeight="1" x14ac:dyDescent="0.25">
      <c r="B210" s="227"/>
      <c r="C210" s="113"/>
      <c r="D210" s="113"/>
      <c r="E210" s="113"/>
      <c r="F210" s="113"/>
      <c r="G210" s="596"/>
      <c r="H210" s="596"/>
      <c r="I210" s="596"/>
      <c r="J210" s="113"/>
      <c r="K210" s="105"/>
    </row>
    <row r="211" spans="1:12" ht="38.1" hidden="1" customHeight="1" x14ac:dyDescent="0.25">
      <c r="B211" s="71"/>
      <c r="C211" s="113"/>
      <c r="D211" s="107"/>
      <c r="E211" s="113"/>
      <c r="F211" s="113"/>
      <c r="G211" s="596"/>
      <c r="H211" s="596"/>
      <c r="I211" s="596"/>
      <c r="J211" s="113"/>
      <c r="K211" s="105"/>
    </row>
    <row r="212" spans="1:12" ht="38.1" hidden="1" customHeight="1" x14ac:dyDescent="0.25">
      <c r="B212" s="71"/>
      <c r="C212" s="113"/>
      <c r="D212" s="107"/>
      <c r="E212" s="113"/>
      <c r="F212" s="113"/>
      <c r="G212" s="596"/>
      <c r="H212" s="596"/>
      <c r="I212" s="596"/>
      <c r="J212" s="113"/>
      <c r="K212" s="105"/>
    </row>
    <row r="213" spans="1:12" hidden="1" x14ac:dyDescent="0.25">
      <c r="B213" s="71"/>
      <c r="C213" s="113"/>
      <c r="D213" s="107"/>
      <c r="E213" s="113"/>
      <c r="F213" s="113"/>
      <c r="G213" s="596"/>
      <c r="H213" s="596"/>
      <c r="I213" s="596"/>
      <c r="J213" s="113"/>
      <c r="K213" s="105"/>
    </row>
    <row r="214" spans="1:12" hidden="1" x14ac:dyDescent="0.25">
      <c r="B214" s="71"/>
      <c r="C214" s="113"/>
      <c r="D214" s="107"/>
      <c r="E214" s="113"/>
      <c r="F214" s="113"/>
      <c r="G214" s="596"/>
      <c r="H214" s="596"/>
      <c r="I214" s="596"/>
      <c r="J214" s="113"/>
      <c r="K214" s="105"/>
    </row>
    <row r="215" spans="1:12" hidden="1" x14ac:dyDescent="0.25">
      <c r="B215" s="227"/>
      <c r="C215" s="113"/>
      <c r="D215" s="113"/>
      <c r="E215" s="113"/>
      <c r="F215" s="113"/>
      <c r="G215" s="596"/>
      <c r="H215" s="596"/>
      <c r="I215" s="596"/>
      <c r="J215" s="113"/>
      <c r="K215" s="105"/>
    </row>
    <row r="216" spans="1:12" hidden="1" x14ac:dyDescent="0.25">
      <c r="B216" s="71"/>
      <c r="C216" s="113"/>
      <c r="D216" s="107"/>
      <c r="E216" s="113"/>
      <c r="F216" s="113"/>
      <c r="G216" s="596"/>
      <c r="H216" s="596"/>
      <c r="I216" s="596"/>
      <c r="J216" s="113"/>
      <c r="K216" s="105"/>
    </row>
    <row r="217" spans="1:12" ht="45" hidden="1" customHeight="1" x14ac:dyDescent="0.25">
      <c r="B217" s="71"/>
      <c r="C217" s="113"/>
      <c r="D217" s="107"/>
      <c r="E217" s="113"/>
      <c r="F217" s="113"/>
      <c r="G217" s="596"/>
      <c r="H217" s="596"/>
      <c r="I217" s="596"/>
      <c r="J217" s="113"/>
      <c r="K217" s="105"/>
    </row>
    <row r="218" spans="1:12" ht="45" hidden="1" customHeight="1" x14ac:dyDescent="0.25">
      <c r="B218" s="71"/>
      <c r="C218" s="113"/>
      <c r="D218" s="107"/>
      <c r="E218" s="113"/>
      <c r="F218" s="113"/>
      <c r="G218" s="596"/>
      <c r="H218" s="596"/>
      <c r="I218" s="596"/>
      <c r="J218" s="113"/>
      <c r="K218" s="105"/>
    </row>
    <row r="219" spans="1:12" s="106" customFormat="1" ht="31.5" hidden="1" customHeight="1" thickBot="1" x14ac:dyDescent="0.3">
      <c r="A219" s="35"/>
      <c r="B219" s="116"/>
      <c r="C219" s="113"/>
      <c r="D219" s="107"/>
      <c r="E219" s="113"/>
      <c r="F219" s="113"/>
      <c r="G219" s="596"/>
      <c r="H219" s="596"/>
      <c r="I219" s="596"/>
      <c r="J219" s="113"/>
      <c r="K219" s="105"/>
      <c r="L219" s="723"/>
    </row>
    <row r="220" spans="1:12" ht="15.75" hidden="1" thickBot="1" x14ac:dyDescent="0.3">
      <c r="B220" s="111"/>
      <c r="C220" s="426"/>
      <c r="D220" s="426"/>
      <c r="E220" s="426"/>
      <c r="F220" s="610"/>
      <c r="G220" s="650"/>
      <c r="H220" s="650"/>
      <c r="I220" s="650"/>
      <c r="J220" s="426"/>
      <c r="K220" s="105"/>
    </row>
    <row r="221" spans="1:12" ht="15" hidden="1" customHeight="1" x14ac:dyDescent="0.25">
      <c r="A221" s="35">
        <v>1</v>
      </c>
      <c r="B221" s="78"/>
      <c r="C221" s="104"/>
      <c r="D221" s="104"/>
      <c r="E221" s="104"/>
      <c r="F221" s="430"/>
      <c r="G221" s="345"/>
      <c r="H221" s="345"/>
      <c r="I221" s="345"/>
      <c r="J221" s="104"/>
      <c r="K221" s="105"/>
    </row>
    <row r="222" spans="1:12" ht="29.25" customHeight="1" x14ac:dyDescent="0.25">
      <c r="A222" s="35">
        <v>1</v>
      </c>
      <c r="B222" s="73" t="s">
        <v>88</v>
      </c>
      <c r="C222" s="118"/>
      <c r="D222" s="118"/>
      <c r="E222" s="118"/>
      <c r="F222" s="118"/>
      <c r="G222" s="344"/>
      <c r="H222" s="344"/>
      <c r="I222" s="344"/>
      <c r="J222" s="154"/>
      <c r="K222" s="105"/>
    </row>
    <row r="223" spans="1:12" ht="30" x14ac:dyDescent="0.25">
      <c r="A223" s="35">
        <v>1</v>
      </c>
      <c r="B223" s="227" t="s">
        <v>120</v>
      </c>
      <c r="C223" s="113">
        <f>SUM(C224:C225)</f>
        <v>1933</v>
      </c>
      <c r="D223" s="113">
        <f>SUM(D224:D225)</f>
        <v>1288</v>
      </c>
      <c r="E223" s="113">
        <f>SUM(E224:E225)</f>
        <v>1184</v>
      </c>
      <c r="F223" s="113">
        <f t="shared" ref="F223:F228" si="96">E223/D223*100</f>
        <v>91.925465838509311</v>
      </c>
      <c r="G223" s="344">
        <f>SUM(G224:G225)</f>
        <v>2873.1963399999995</v>
      </c>
      <c r="H223" s="344">
        <f>SUM(H224:H225)</f>
        <v>1915.46</v>
      </c>
      <c r="I223" s="344">
        <f>SUM(I224:I225)</f>
        <v>1245.4749199999999</v>
      </c>
      <c r="J223" s="113">
        <f t="shared" ref="J223:J229" si="97">I223/H223*100</f>
        <v>65.022235912000241</v>
      </c>
      <c r="K223" s="105"/>
    </row>
    <row r="224" spans="1:12" ht="30" x14ac:dyDescent="0.25">
      <c r="A224" s="35">
        <v>1</v>
      </c>
      <c r="B224" s="71" t="s">
        <v>79</v>
      </c>
      <c r="C224" s="113">
        <v>1487</v>
      </c>
      <c r="D224" s="107">
        <f>ROUND(C224/12*$B$3,0)</f>
        <v>991</v>
      </c>
      <c r="E224" s="113">
        <v>955</v>
      </c>
      <c r="F224" s="113">
        <f t="shared" si="96"/>
        <v>96.367305751765898</v>
      </c>
      <c r="G224" s="344">
        <v>2137.0957999999996</v>
      </c>
      <c r="H224" s="344">
        <f t="shared" ref="H224:H225" si="98">ROUND(G224/12*$B$3,2)</f>
        <v>1424.73</v>
      </c>
      <c r="I224" s="344">
        <v>898.68468999999993</v>
      </c>
      <c r="J224" s="113">
        <f t="shared" si="97"/>
        <v>63.077543815319395</v>
      </c>
      <c r="K224" s="105"/>
    </row>
    <row r="225" spans="1:12" ht="30" x14ac:dyDescent="0.25">
      <c r="A225" s="35">
        <v>1</v>
      </c>
      <c r="B225" s="71" t="s">
        <v>80</v>
      </c>
      <c r="C225" s="113">
        <v>446</v>
      </c>
      <c r="D225" s="107">
        <f>ROUND(C225/12*$B$3,0)</f>
        <v>297</v>
      </c>
      <c r="E225" s="113">
        <v>229</v>
      </c>
      <c r="F225" s="113">
        <f t="shared" si="96"/>
        <v>77.104377104377107</v>
      </c>
      <c r="G225" s="359">
        <v>736.10054000000002</v>
      </c>
      <c r="H225" s="344">
        <f t="shared" si="98"/>
        <v>490.73</v>
      </c>
      <c r="I225" s="359">
        <v>346.79023000000001</v>
      </c>
      <c r="J225" s="113">
        <f t="shared" si="97"/>
        <v>70.668235078352666</v>
      </c>
      <c r="K225" s="105"/>
    </row>
    <row r="226" spans="1:12" ht="30" x14ac:dyDescent="0.25">
      <c r="A226" s="35">
        <v>1</v>
      </c>
      <c r="B226" s="227" t="s">
        <v>112</v>
      </c>
      <c r="C226" s="174">
        <f>SUM(C227)</f>
        <v>60</v>
      </c>
      <c r="D226" s="174">
        <f t="shared" ref="D226:I226" si="99">SUM(D227)</f>
        <v>40</v>
      </c>
      <c r="E226" s="174">
        <f t="shared" si="99"/>
        <v>3</v>
      </c>
      <c r="F226" s="113">
        <f t="shared" si="96"/>
        <v>7.5</v>
      </c>
      <c r="G226" s="359">
        <f>SUM(G227)</f>
        <v>106.026</v>
      </c>
      <c r="H226" s="359">
        <f t="shared" si="99"/>
        <v>70.680000000000007</v>
      </c>
      <c r="I226" s="359">
        <f t="shared" si="99"/>
        <v>5.0836999999999994</v>
      </c>
      <c r="J226" s="359">
        <f t="shared" si="97"/>
        <v>7.192558007923032</v>
      </c>
      <c r="K226" s="105"/>
    </row>
    <row r="227" spans="1:12" ht="30" x14ac:dyDescent="0.25">
      <c r="A227" s="35">
        <v>1</v>
      </c>
      <c r="B227" s="286" t="s">
        <v>108</v>
      </c>
      <c r="C227" s="174">
        <v>60</v>
      </c>
      <c r="D227" s="300">
        <f>ROUND(C227/12*$B$3,0)</f>
        <v>40</v>
      </c>
      <c r="E227" s="174">
        <v>3</v>
      </c>
      <c r="F227" s="174">
        <f t="shared" si="96"/>
        <v>7.5</v>
      </c>
      <c r="G227" s="359">
        <f>106026/1000</f>
        <v>106.026</v>
      </c>
      <c r="H227" s="359">
        <f t="shared" ref="H227:H228" si="100">ROUND(G227/12*$B$3,2)</f>
        <v>70.680000000000007</v>
      </c>
      <c r="I227" s="359">
        <v>5.0836999999999994</v>
      </c>
      <c r="J227" s="359">
        <f t="shared" si="97"/>
        <v>7.192558007923032</v>
      </c>
      <c r="K227" s="105"/>
    </row>
    <row r="228" spans="1:12" s="106" customFormat="1" ht="31.5" customHeight="1" thickBot="1" x14ac:dyDescent="0.3">
      <c r="A228" s="35">
        <v>1</v>
      </c>
      <c r="B228" s="116" t="s">
        <v>123</v>
      </c>
      <c r="C228" s="113">
        <v>1500</v>
      </c>
      <c r="D228" s="107">
        <f>ROUND(C228/12*$B$3,0)</f>
        <v>1000</v>
      </c>
      <c r="E228" s="113">
        <v>996</v>
      </c>
      <c r="F228" s="113">
        <f t="shared" si="96"/>
        <v>99.6</v>
      </c>
      <c r="G228" s="596">
        <v>1216.53</v>
      </c>
      <c r="H228" s="596">
        <f t="shared" si="100"/>
        <v>811.02</v>
      </c>
      <c r="I228" s="359">
        <v>804.28275000000008</v>
      </c>
      <c r="J228" s="115">
        <f t="shared" si="97"/>
        <v>99.169286823999428</v>
      </c>
      <c r="K228" s="105"/>
      <c r="L228" s="723"/>
    </row>
    <row r="229" spans="1:12" ht="15.75" thickBot="1" x14ac:dyDescent="0.3">
      <c r="A229" s="35">
        <v>1</v>
      </c>
      <c r="B229" s="119" t="s">
        <v>3</v>
      </c>
      <c r="C229" s="426"/>
      <c r="D229" s="426"/>
      <c r="E229" s="426"/>
      <c r="F229" s="610"/>
      <c r="G229" s="623">
        <f>G223+G226+G228</f>
        <v>4195.7523399999991</v>
      </c>
      <c r="H229" s="623">
        <f>H223+H226+H228</f>
        <v>2797.16</v>
      </c>
      <c r="I229" s="623">
        <f>I223+I226+I228</f>
        <v>2054.8413700000001</v>
      </c>
      <c r="J229" s="426">
        <f t="shared" si="97"/>
        <v>73.461702941555018</v>
      </c>
      <c r="K229" s="105"/>
    </row>
    <row r="230" spans="1:12" ht="15" customHeight="1" x14ac:dyDescent="0.25">
      <c r="A230" s="35">
        <v>1</v>
      </c>
      <c r="B230" s="81"/>
      <c r="C230" s="114"/>
      <c r="D230" s="114"/>
      <c r="E230" s="114"/>
      <c r="F230" s="634"/>
      <c r="G230" s="356"/>
      <c r="H230" s="356"/>
      <c r="I230" s="356"/>
      <c r="J230" s="631"/>
      <c r="K230" s="105"/>
    </row>
    <row r="231" spans="1:12" ht="38.25" customHeight="1" x14ac:dyDescent="0.25">
      <c r="A231" s="35">
        <v>1</v>
      </c>
      <c r="B231" s="188" t="s">
        <v>89</v>
      </c>
      <c r="C231" s="113"/>
      <c r="D231" s="113"/>
      <c r="E231" s="113"/>
      <c r="F231" s="113"/>
      <c r="G231" s="347"/>
      <c r="H231" s="347"/>
      <c r="I231" s="347"/>
      <c r="J231" s="113"/>
      <c r="K231" s="105"/>
    </row>
    <row r="232" spans="1:12" ht="30" x14ac:dyDescent="0.25">
      <c r="A232" s="35">
        <v>1</v>
      </c>
      <c r="B232" s="227" t="s">
        <v>120</v>
      </c>
      <c r="C232" s="113">
        <f>SUM(C233:C234)</f>
        <v>1338</v>
      </c>
      <c r="D232" s="113">
        <f>SUM(D233:D234)</f>
        <v>892</v>
      </c>
      <c r="E232" s="113">
        <f>SUM(E233:E234)</f>
        <v>867</v>
      </c>
      <c r="F232" s="113">
        <f t="shared" ref="F232:F237" si="101">E232/D232*100</f>
        <v>97.197309417040358</v>
      </c>
      <c r="G232" s="596">
        <f>SUM(G233:G234)</f>
        <v>1478.7047299999999</v>
      </c>
      <c r="H232" s="596">
        <f>SUM(H233:H234)</f>
        <v>985.8</v>
      </c>
      <c r="I232" s="596">
        <f>SUM(I233:I234)</f>
        <v>882.35458999999992</v>
      </c>
      <c r="J232" s="113">
        <f t="shared" ref="J232:J238" si="102">I232/H232*100</f>
        <v>89.506450598498674</v>
      </c>
      <c r="K232" s="105"/>
    </row>
    <row r="233" spans="1:12" ht="30" x14ac:dyDescent="0.25">
      <c r="A233" s="35">
        <v>1</v>
      </c>
      <c r="B233" s="71" t="s">
        <v>79</v>
      </c>
      <c r="C233" s="113">
        <v>1029</v>
      </c>
      <c r="D233" s="107">
        <f>ROUND(C233/12*$B$3,0)</f>
        <v>686</v>
      </c>
      <c r="E233" s="113">
        <v>666</v>
      </c>
      <c r="F233" s="113">
        <f t="shared" si="101"/>
        <v>97.084548104956269</v>
      </c>
      <c r="G233" s="596">
        <v>1048.5454</v>
      </c>
      <c r="H233" s="596">
        <f t="shared" ref="H233:H234" si="103">ROUND(G233/12*$B$3,2)</f>
        <v>699.03</v>
      </c>
      <c r="I233" s="596">
        <v>623.71155999999996</v>
      </c>
      <c r="J233" s="113">
        <f t="shared" si="102"/>
        <v>89.225292190606993</v>
      </c>
      <c r="K233" s="105"/>
    </row>
    <row r="234" spans="1:12" ht="30" x14ac:dyDescent="0.25">
      <c r="A234" s="35">
        <v>1</v>
      </c>
      <c r="B234" s="71" t="s">
        <v>80</v>
      </c>
      <c r="C234" s="113">
        <v>309</v>
      </c>
      <c r="D234" s="107">
        <f>ROUND(C234/12*$B$3,0)</f>
        <v>206</v>
      </c>
      <c r="E234" s="113">
        <v>201</v>
      </c>
      <c r="F234" s="113">
        <f t="shared" si="101"/>
        <v>97.572815533980588</v>
      </c>
      <c r="G234" s="596">
        <v>430.15933000000007</v>
      </c>
      <c r="H234" s="596">
        <f t="shared" si="103"/>
        <v>286.77</v>
      </c>
      <c r="I234" s="596">
        <v>258.64303000000001</v>
      </c>
      <c r="J234" s="113">
        <f t="shared" si="102"/>
        <v>90.191801792377177</v>
      </c>
      <c r="K234" s="105"/>
    </row>
    <row r="235" spans="1:12" ht="30" x14ac:dyDescent="0.25">
      <c r="A235" s="35">
        <v>1</v>
      </c>
      <c r="B235" s="227" t="s">
        <v>112</v>
      </c>
      <c r="C235" s="174">
        <f>SUM(C236)</f>
        <v>400</v>
      </c>
      <c r="D235" s="174">
        <f t="shared" ref="D235:I235" si="104">SUM(D236)</f>
        <v>267</v>
      </c>
      <c r="E235" s="174">
        <f t="shared" si="104"/>
        <v>260</v>
      </c>
      <c r="F235" s="113">
        <f t="shared" si="101"/>
        <v>97.378277153558059</v>
      </c>
      <c r="G235" s="596">
        <f>SUM(G236)</f>
        <v>706.84</v>
      </c>
      <c r="H235" s="596">
        <f t="shared" si="104"/>
        <v>471.23</v>
      </c>
      <c r="I235" s="596">
        <f t="shared" si="104"/>
        <v>467.1484999999999</v>
      </c>
      <c r="J235" s="113">
        <f t="shared" si="102"/>
        <v>99.133862445090486</v>
      </c>
      <c r="K235" s="105"/>
    </row>
    <row r="236" spans="1:12" ht="30" x14ac:dyDescent="0.25">
      <c r="A236" s="35">
        <v>1</v>
      </c>
      <c r="B236" s="286" t="s">
        <v>108</v>
      </c>
      <c r="C236" s="174">
        <v>400</v>
      </c>
      <c r="D236" s="300">
        <f>ROUND(C236/12*$B$3,0)</f>
        <v>267</v>
      </c>
      <c r="E236" s="174">
        <v>260</v>
      </c>
      <c r="F236" s="174">
        <f t="shared" si="101"/>
        <v>97.378277153558059</v>
      </c>
      <c r="G236" s="596">
        <f>706840/1000</f>
        <v>706.84</v>
      </c>
      <c r="H236" s="596">
        <f t="shared" ref="H236:H237" si="105">ROUND(G236/12*$B$3,2)</f>
        <v>471.23</v>
      </c>
      <c r="I236" s="596">
        <v>467.1484999999999</v>
      </c>
      <c r="J236" s="621">
        <f t="shared" si="102"/>
        <v>99.133862445090486</v>
      </c>
      <c r="K236" s="105"/>
    </row>
    <row r="237" spans="1:12" s="106" customFormat="1" ht="31.5" customHeight="1" thickBot="1" x14ac:dyDescent="0.3">
      <c r="A237" s="35">
        <v>1</v>
      </c>
      <c r="B237" s="116" t="s">
        <v>123</v>
      </c>
      <c r="C237" s="113">
        <v>370</v>
      </c>
      <c r="D237" s="107">
        <f>ROUND(C237/12*$B$3,0)</f>
        <v>247</v>
      </c>
      <c r="E237" s="113">
        <v>263</v>
      </c>
      <c r="F237" s="113">
        <f t="shared" si="101"/>
        <v>106.47773279352226</v>
      </c>
      <c r="G237" s="596">
        <v>300.07739999999995</v>
      </c>
      <c r="H237" s="596">
        <f t="shared" si="105"/>
        <v>200.05</v>
      </c>
      <c r="I237" s="596">
        <v>213.29826</v>
      </c>
      <c r="J237" s="113">
        <f t="shared" si="102"/>
        <v>106.62247438140464</v>
      </c>
      <c r="K237" s="105"/>
      <c r="L237" s="723"/>
    </row>
    <row r="238" spans="1:12" ht="15.75" thickBot="1" x14ac:dyDescent="0.3">
      <c r="A238" s="35">
        <v>1</v>
      </c>
      <c r="B238" s="293" t="s">
        <v>3</v>
      </c>
      <c r="C238" s="339"/>
      <c r="D238" s="339"/>
      <c r="E238" s="339"/>
      <c r="F238" s="338"/>
      <c r="G238" s="387">
        <f>G232+G235+G237</f>
        <v>2485.6221300000002</v>
      </c>
      <c r="H238" s="387">
        <f>H232+H235+H237</f>
        <v>1657.08</v>
      </c>
      <c r="I238" s="387">
        <f>I232+I235+I237</f>
        <v>1562.8013499999997</v>
      </c>
      <c r="J238" s="339">
        <f t="shared" si="102"/>
        <v>94.310555314167075</v>
      </c>
      <c r="K238" s="105"/>
    </row>
    <row r="239" spans="1:12" ht="15" customHeight="1" thickBot="1" x14ac:dyDescent="0.3">
      <c r="A239" s="35">
        <v>1</v>
      </c>
      <c r="B239" s="81"/>
      <c r="C239" s="83"/>
      <c r="D239" s="83"/>
      <c r="E239" s="114"/>
      <c r="F239" s="51"/>
      <c r="G239" s="389"/>
      <c r="H239" s="389"/>
      <c r="I239" s="356"/>
      <c r="J239" s="68"/>
      <c r="K239" s="105"/>
    </row>
    <row r="240" spans="1:12" ht="15" customHeight="1" x14ac:dyDescent="0.25">
      <c r="A240" s="35">
        <v>1</v>
      </c>
      <c r="B240" s="279" t="s">
        <v>34</v>
      </c>
      <c r="C240" s="280"/>
      <c r="D240" s="280"/>
      <c r="E240" s="281"/>
      <c r="F240" s="280"/>
      <c r="G240" s="390"/>
      <c r="H240" s="390"/>
      <c r="I240" s="360"/>
      <c r="J240" s="280"/>
      <c r="K240" s="105"/>
    </row>
    <row r="241" spans="1:12" s="106" customFormat="1" ht="33.75" customHeight="1" x14ac:dyDescent="0.25">
      <c r="A241" s="35">
        <v>1</v>
      </c>
      <c r="B241" s="453" t="s">
        <v>120</v>
      </c>
      <c r="C241" s="312">
        <f>SUM(C232,C223,C210,C201,C187,C177,C167,C157,C147,C138,C125,C115,C102,C89,C80,C71,C62,C51,C30,C41)</f>
        <v>136098</v>
      </c>
      <c r="D241" s="312">
        <f>SUM(D232,D223,D210,D201,D187,D177,D167,D157,D147,D138,D125,D115,D102,D89,D80,D71,D62,D51,D30,D41)</f>
        <v>90730</v>
      </c>
      <c r="E241" s="312">
        <f>SUM(E232,E223,E210,E201,E187,E177,E167,E157,E147,E138,E125,E115,E102,E89,E80,E71,E62,E51,E30,E41)</f>
        <v>90704</v>
      </c>
      <c r="F241" s="294">
        <f t="shared" ref="F241:F252" si="106">E241/D241*100</f>
        <v>99.971343546787168</v>
      </c>
      <c r="G241" s="452">
        <f>SUM(G232,G223,G210,G201,G187,G177,G167,G157,G147,G138,G125,G115,G102,G89,G80,G71,G62,G51,G41,G30)</f>
        <v>194960.87882999997</v>
      </c>
      <c r="H241" s="452">
        <f>SUM(H232,H223,H210,H201,H187,H177,H167,H157,H147,H138,H125,H115,H102,H89,H80,H71,H62,H51,H41,H30)</f>
        <v>129973.90999999999</v>
      </c>
      <c r="I241" s="452">
        <f>SUM(I232,I223,I210,I201,I187,I177,I167,I157,I147,I138,I125,I115,I102,I89,I80,I71,I62,I51,I41,I30)</f>
        <v>127017.61026</v>
      </c>
      <c r="J241" s="452">
        <f t="shared" ref="J241:J253" si="107">I241/H241*100</f>
        <v>97.725466795605371</v>
      </c>
      <c r="K241" s="105"/>
      <c r="L241" s="723"/>
    </row>
    <row r="242" spans="1:12" s="106" customFormat="1" ht="30" customHeight="1" x14ac:dyDescent="0.25">
      <c r="A242" s="35">
        <v>1</v>
      </c>
      <c r="B242" s="295" t="s">
        <v>79</v>
      </c>
      <c r="C242" s="312">
        <f t="shared" ref="C242:E243" si="108">SUM(C233,C224,C211,C202,C188,C139,C126,C116,C103,C90,C81,C72,C63,C31)</f>
        <v>103458</v>
      </c>
      <c r="D242" s="312">
        <f t="shared" si="108"/>
        <v>68972</v>
      </c>
      <c r="E242" s="312">
        <f t="shared" si="108"/>
        <v>68918</v>
      </c>
      <c r="F242" s="294">
        <f t="shared" si="106"/>
        <v>99.921707359508204</v>
      </c>
      <c r="G242" s="452">
        <f t="shared" ref="G242:I242" si="109">SUM(G233,G224,G211,G202,G188,G139,G126,G116,G103,G90,G81,G72,G63,G31)</f>
        <v>138915.41019999998</v>
      </c>
      <c r="H242" s="452">
        <f t="shared" si="109"/>
        <v>92610.26999999999</v>
      </c>
      <c r="I242" s="452">
        <f t="shared" si="109"/>
        <v>87776.017460000003</v>
      </c>
      <c r="J242" s="452">
        <f t="shared" si="107"/>
        <v>94.780003837587358</v>
      </c>
      <c r="K242" s="105"/>
      <c r="L242" s="723"/>
    </row>
    <row r="243" spans="1:12" s="106" customFormat="1" ht="30" customHeight="1" x14ac:dyDescent="0.25">
      <c r="A243" s="35">
        <v>1</v>
      </c>
      <c r="B243" s="295" t="s">
        <v>80</v>
      </c>
      <c r="C243" s="312">
        <f t="shared" si="108"/>
        <v>31037</v>
      </c>
      <c r="D243" s="312">
        <f t="shared" si="108"/>
        <v>20692</v>
      </c>
      <c r="E243" s="312">
        <f t="shared" si="108"/>
        <v>20154</v>
      </c>
      <c r="F243" s="294">
        <f t="shared" si="106"/>
        <v>97.399961337715055</v>
      </c>
      <c r="G243" s="452">
        <f>SUM(G234,G225,G212,G203,G189,G140,G127,G117,G104,G91,G82,G73,G64,G32)</f>
        <v>47279.62343</v>
      </c>
      <c r="H243" s="452">
        <f>SUM(H234,H225,H212,H203,H189,H140,H127,H117,H104,H91,H82,H73,H64,H32)</f>
        <v>31519.740000000005</v>
      </c>
      <c r="I243" s="452">
        <f>SUM(I234,I225,I212,I203,I189,I140,I127,I117,I104,I91,I82,I73,I64,I32)</f>
        <v>30552.305909999995</v>
      </c>
      <c r="J243" s="452">
        <f t="shared" si="107"/>
        <v>96.930704092102246</v>
      </c>
      <c r="K243" s="105"/>
      <c r="L243" s="723"/>
    </row>
    <row r="244" spans="1:12" s="106" customFormat="1" ht="44.25" customHeight="1" x14ac:dyDescent="0.25">
      <c r="A244" s="35">
        <v>1</v>
      </c>
      <c r="B244" s="295" t="s">
        <v>114</v>
      </c>
      <c r="C244" s="312">
        <f>SUM(C213,C178,C168,C158,C148,C128,C105,C92,C52,C42)</f>
        <v>846</v>
      </c>
      <c r="D244" s="312">
        <f>SUM(D213,D178,D168,D158,D148,D128,D105,D92,D52,D42)</f>
        <v>563</v>
      </c>
      <c r="E244" s="312">
        <f>SUM(E213,E178,E168,E158,E148,E128,E105,E92,E52,E42)</f>
        <v>863</v>
      </c>
      <c r="F244" s="294">
        <f t="shared" si="106"/>
        <v>153.28596802841918</v>
      </c>
      <c r="G244" s="452">
        <f>SUM(G213,G178,G168,G158,G148,G128,G105,G92,G52,G42)</f>
        <v>4626.2663999999995</v>
      </c>
      <c r="H244" s="452">
        <f>SUM(H213,H178,H168,H158,H148,H128,H105,H92,H52,H42)</f>
        <v>3084.17</v>
      </c>
      <c r="I244" s="452">
        <f>SUM(I213,I178,I168,I158,I148,I128,I105,I92,I52,I42)</f>
        <v>4525.1010000000006</v>
      </c>
      <c r="J244" s="452">
        <f t="shared" si="107"/>
        <v>146.72021970254559</v>
      </c>
      <c r="K244" s="105"/>
      <c r="L244" s="723"/>
    </row>
    <row r="245" spans="1:12" s="106" customFormat="1" ht="30" customHeight="1" x14ac:dyDescent="0.25">
      <c r="A245" s="35">
        <v>1</v>
      </c>
      <c r="B245" s="295" t="s">
        <v>115</v>
      </c>
      <c r="C245" s="312">
        <f>SUM(C214,C179,C169,C159,C149,C129,C106,C93,C53,C43,C191)</f>
        <v>757</v>
      </c>
      <c r="D245" s="312">
        <f t="shared" ref="D245:E245" si="110">SUM(D214,D179,D169,D159,D149,D129,D106,D93,D53,D43,D191)</f>
        <v>503</v>
      </c>
      <c r="E245" s="312">
        <f t="shared" si="110"/>
        <v>769</v>
      </c>
      <c r="F245" s="294">
        <f t="shared" si="106"/>
        <v>152.88270377733599</v>
      </c>
      <c r="G245" s="312">
        <f t="shared" ref="G245:I245" si="111">SUM(G214,G179,G169,G159,G149,G129,G106,G93,G53,G43,G191)</f>
        <v>4139.5787999999993</v>
      </c>
      <c r="H245" s="312">
        <f t="shared" si="111"/>
        <v>2759.73</v>
      </c>
      <c r="I245" s="312">
        <f t="shared" si="111"/>
        <v>4164.1858900000007</v>
      </c>
      <c r="J245" s="452">
        <f t="shared" si="107"/>
        <v>150.89106144441669</v>
      </c>
      <c r="K245" s="105"/>
      <c r="L245" s="723"/>
    </row>
    <row r="246" spans="1:12" s="106" customFormat="1" ht="45" customHeight="1" x14ac:dyDescent="0.25">
      <c r="A246" s="35">
        <v>1</v>
      </c>
      <c r="B246" s="453" t="s">
        <v>112</v>
      </c>
      <c r="C246" s="312">
        <f>SUM(C235,C226,C215,C204,C192,C180,C170,C160,C150,C141,C130,C118,C107,C94,C83,C74,C65,C54,C44,C33)</f>
        <v>150239</v>
      </c>
      <c r="D246" s="312">
        <f>SUM(D235,D226,D215,D204,D192,D180,D170,D160,D150,D141,D130,D118,D107,D94,D83,D74,D65,D54,D44,D33)</f>
        <v>100158</v>
      </c>
      <c r="E246" s="312">
        <f>SUM(E235,E226,E215,E204,E192,E180,E170,E160,E150,E141,E130,E118,E107,E94,E83,E74,E65,E54,E44,E33)</f>
        <v>98480</v>
      </c>
      <c r="F246" s="294">
        <f t="shared" si="106"/>
        <v>98.324647057648917</v>
      </c>
      <c r="G246" s="452">
        <f>SUM(G235,G226,G215,G204,G192,G180,G170,G160,G150,G141,G130,G118,G107,G94,G83,G74,G65,G54,G44,G33)</f>
        <v>299908.21309999999</v>
      </c>
      <c r="H246" s="452">
        <f>SUM(H235,H226,H215,H204,H192,H180,H170,H160,H150,H141,H130,H118,H107,H94,H83,H74,H65,H54,H44,H33)</f>
        <v>199938.8</v>
      </c>
      <c r="I246" s="452">
        <f>SUM(I235,I226,I215,I204,I192,I180,I170,I160,I150,I141,I130,I118,I107,I94,I83,I74,I65,I54,I44,I33)</f>
        <v>187959.01718000005</v>
      </c>
      <c r="J246" s="452">
        <f t="shared" si="107"/>
        <v>94.008275122187428</v>
      </c>
      <c r="K246" s="105"/>
      <c r="L246" s="723"/>
    </row>
    <row r="247" spans="1:12" s="106" customFormat="1" ht="30" x14ac:dyDescent="0.25">
      <c r="A247" s="35">
        <v>1</v>
      </c>
      <c r="B247" s="295" t="s">
        <v>108</v>
      </c>
      <c r="C247" s="312">
        <f>SUM(C236,C227,C216,C205,C193,C142,C131,C119,C108,C95,C84,C75,C66,C34)</f>
        <v>20598</v>
      </c>
      <c r="D247" s="312">
        <f>SUM(D236,D227,D216,D205,D193,D142,D131,D119,D108,D95,D84,D75,D66,D34)</f>
        <v>13732</v>
      </c>
      <c r="E247" s="312">
        <f>SUM(E236,E227,E216,E205,E193,E142,E131,E119,E108,E95,E84,E75,E66,E34)</f>
        <v>13039</v>
      </c>
      <c r="F247" s="294">
        <f t="shared" si="106"/>
        <v>94.953393533352752</v>
      </c>
      <c r="G247" s="452">
        <f>SUM(G236,G227,G216,G205,G193,G142,G131,G119,G108,G95,G84,G75,G66,G34)</f>
        <v>36398.725800000007</v>
      </c>
      <c r="H247" s="452">
        <f>SUM(H236,H227,H216,H205,H193,H142,H131,H119,H108,H95,H84,H75,H66,H34)</f>
        <v>24265.81</v>
      </c>
      <c r="I247" s="452">
        <f>SUM(I236,I227,I216,I205,I193,I142,I131,I119,I108,I95,I84,I75,I66,I34)</f>
        <v>22952.542570000001</v>
      </c>
      <c r="J247" s="452">
        <f t="shared" si="107"/>
        <v>94.587992611827104</v>
      </c>
      <c r="K247" s="105"/>
      <c r="L247" s="723"/>
    </row>
    <row r="248" spans="1:12" s="106" customFormat="1" ht="63.75" customHeight="1" x14ac:dyDescent="0.25">
      <c r="A248" s="35">
        <v>1</v>
      </c>
      <c r="B248" s="295" t="s">
        <v>119</v>
      </c>
      <c r="C248" s="312">
        <f>SUM(C217,C181,C171,C161,C151,C132,C109,C96,C55,C45,C194)</f>
        <v>105307</v>
      </c>
      <c r="D248" s="312">
        <f t="shared" ref="D248:E248" si="112">SUM(D217,D181,D171,D161,D151,D132,D109,D96,D55,D45,D194)</f>
        <v>70204</v>
      </c>
      <c r="E248" s="312">
        <f t="shared" si="112"/>
        <v>67194</v>
      </c>
      <c r="F248" s="294">
        <f t="shared" si="106"/>
        <v>95.712495014529082</v>
      </c>
      <c r="G248" s="452">
        <f t="shared" ref="G248:H248" si="113">SUM(G217,G181,G171,G161,G151,G132,G109,G96,G55,G45,G194)</f>
        <v>243133.47609999997</v>
      </c>
      <c r="H248" s="452">
        <f t="shared" si="113"/>
        <v>162088.97999999998</v>
      </c>
      <c r="I248" s="452">
        <f>SUM(I181,I171,I161,I151,I132,I109,I96,I55,I45,I194)</f>
        <v>147979.57080999998</v>
      </c>
      <c r="J248" s="452">
        <f t="shared" si="107"/>
        <v>91.295269308252784</v>
      </c>
      <c r="K248" s="105"/>
      <c r="L248" s="723"/>
    </row>
    <row r="249" spans="1:12" s="106" customFormat="1" ht="45" x14ac:dyDescent="0.25">
      <c r="A249" s="35">
        <v>1</v>
      </c>
      <c r="B249" s="295" t="s">
        <v>109</v>
      </c>
      <c r="C249" s="312">
        <f>SUM(C218,C182,C172,C162,C152,C133,C110,C97,C56,C46,C195)</f>
        <v>24334</v>
      </c>
      <c r="D249" s="312">
        <f t="shared" ref="D249:E249" si="114">SUM(D218,D182,D172,D162,D152,D133,D110,D97,D56,D46,D195)</f>
        <v>16222</v>
      </c>
      <c r="E249" s="312">
        <f t="shared" si="114"/>
        <v>18247</v>
      </c>
      <c r="F249" s="294">
        <f t="shared" si="106"/>
        <v>112.48304771298237</v>
      </c>
      <c r="G249" s="452">
        <f t="shared" ref="G249:I249" si="115">SUM(G218,G182,G172,G162,G152,G133,G110,G97,G56,G46,G195)</f>
        <v>20376.011200000001</v>
      </c>
      <c r="H249" s="452">
        <f t="shared" si="115"/>
        <v>13584.010000000002</v>
      </c>
      <c r="I249" s="452">
        <f t="shared" si="115"/>
        <v>17026.9038</v>
      </c>
      <c r="J249" s="452">
        <f t="shared" si="107"/>
        <v>125.34519482833124</v>
      </c>
      <c r="K249" s="105"/>
      <c r="L249" s="723"/>
    </row>
    <row r="250" spans="1:12" s="106" customFormat="1" ht="38.25" customHeight="1" x14ac:dyDescent="0.25">
      <c r="A250" s="35">
        <v>1</v>
      </c>
      <c r="B250" s="394" t="s">
        <v>123</v>
      </c>
      <c r="C250" s="401">
        <f>SUM(C237,C228,C219,C206,C196,C183,C173,C163,C153,C143,C134,C120,C111,C98,C85,C76,C67,C57,C47,C35)</f>
        <v>295944.8</v>
      </c>
      <c r="D250" s="401">
        <f>SUM(D237,D228,D219,D206,D196,D183,D173,D163,D153,D143,D134,D120,D111,D98,D85,D76,D67,D57,D47,D35)</f>
        <v>197298</v>
      </c>
      <c r="E250" s="401">
        <f>SUM(E237,E228,E219,E206,E196,E183,E173,E163,E153,E143,E134,E120,E111,E98,E85,E76,E67,E57,E47,E35)</f>
        <v>197742</v>
      </c>
      <c r="F250" s="294">
        <f t="shared" si="106"/>
        <v>100.22504029437704</v>
      </c>
      <c r="G250" s="401">
        <f>SUM(G237,G228,G219,G206,G196,G183,G173,G163,G153,G143,G134,G120,G111,G98,G85,G76,G67,G57,G47,G35)</f>
        <v>240017.31389999998</v>
      </c>
      <c r="H250" s="401">
        <f>SUM(H237,H228,H219,H206,H196,H183,H173,H163,H153,H143,H134,H120,H111,H98,H85,H76,H67,H57,H47,H35)</f>
        <v>160011.54</v>
      </c>
      <c r="I250" s="401">
        <f>SUM(I237,I228,I219,I206,I196,I183,I173,I163,I153,I143,I134,I120,I111,I98,I85,I76,I67,I57,I47,I35)</f>
        <v>159979.01558000001</v>
      </c>
      <c r="J250" s="583">
        <f t="shared" si="107"/>
        <v>99.979673703534132</v>
      </c>
      <c r="K250" s="105"/>
      <c r="L250" s="723"/>
    </row>
    <row r="251" spans="1:12" s="106" customFormat="1" ht="30.75" customHeight="1" x14ac:dyDescent="0.25">
      <c r="A251" s="35">
        <v>1</v>
      </c>
      <c r="B251" s="394" t="s">
        <v>124</v>
      </c>
      <c r="C251" s="401">
        <f>SUM(C121,C36)</f>
        <v>25864.400000000001</v>
      </c>
      <c r="D251" s="401">
        <f>SUM(D121,D36)</f>
        <v>17243</v>
      </c>
      <c r="E251" s="401">
        <f>SUM(E121,E36)</f>
        <v>18397</v>
      </c>
      <c r="F251" s="294">
        <f t="shared" si="106"/>
        <v>106.69257089833555</v>
      </c>
      <c r="G251" s="401">
        <f>SUM(G121,G36)</f>
        <v>20976.617719373913</v>
      </c>
      <c r="H251" s="401">
        <f>SUM(H121,H36)</f>
        <v>13984.41</v>
      </c>
      <c r="I251" s="401">
        <f>SUM(I121,I36)</f>
        <v>14901.065259999999</v>
      </c>
      <c r="J251" s="583">
        <f t="shared" si="107"/>
        <v>106.55483685046418</v>
      </c>
      <c r="K251" s="105"/>
      <c r="L251" s="723"/>
    </row>
    <row r="252" spans="1:12" s="106" customFormat="1" ht="26.25" customHeight="1" thickBot="1" x14ac:dyDescent="0.3">
      <c r="A252" s="35">
        <v>1</v>
      </c>
      <c r="B252" s="394" t="s">
        <v>125</v>
      </c>
      <c r="C252" s="401">
        <f>SUM(C197,C58,C37)</f>
        <v>9471.6</v>
      </c>
      <c r="D252" s="401">
        <f>SUM(D197,D58,D37)</f>
        <v>6314</v>
      </c>
      <c r="E252" s="401">
        <f>SUM(E197,E58,E37)</f>
        <v>7671</v>
      </c>
      <c r="F252" s="294">
        <f t="shared" si="106"/>
        <v>121.4919227114349</v>
      </c>
      <c r="G252" s="401">
        <f>SUM(G197,G58,G37)</f>
        <v>7681.7064666208862</v>
      </c>
      <c r="H252" s="401">
        <f>SUM(H197,H58,H37)</f>
        <v>5121.1399999999994</v>
      </c>
      <c r="I252" s="401">
        <f>SUM(I197,I58,I37)</f>
        <v>6213.8695000000007</v>
      </c>
      <c r="J252" s="583">
        <f t="shared" si="107"/>
        <v>121.33762209195611</v>
      </c>
      <c r="K252" s="105"/>
      <c r="L252" s="723"/>
    </row>
    <row r="253" spans="1:12" s="106" customFormat="1" ht="15" customHeight="1" thickBot="1" x14ac:dyDescent="0.3">
      <c r="A253" s="35">
        <v>1</v>
      </c>
      <c r="B253" s="395" t="s">
        <v>116</v>
      </c>
      <c r="C253" s="402">
        <f>SUM(C238,C229,C220,C207,C198,C184,C174,C164,C154,C144,C135,C122,C112,C99,C86,C77,C68,C59,C48,C38)</f>
        <v>0</v>
      </c>
      <c r="D253" s="402">
        <f>SUM(D238,D229,D220,D207,D198,D184,D174,D164,D154,D144,D135,D122,D112,D99,D86,D77,D68,D59,D48,D38)</f>
        <v>0</v>
      </c>
      <c r="E253" s="402">
        <f>SUM(E238,E229,E220,E207,E198,E184,E174,E164,E154,E144,E135,E122,E112,E99,E86,E77,E68,E59,E48,E38)</f>
        <v>0</v>
      </c>
      <c r="F253" s="431">
        <f>SUM(F220,F184,F174,F135,F112,F99,F59,F48)</f>
        <v>0</v>
      </c>
      <c r="G253" s="404">
        <f>SUM(G238,G229,G220,G207,G198,G184,G174,G164,G154,G144,G135,G122,G112,G99,G86,G77,G68,G59,G48,G38)</f>
        <v>734886.40583000006</v>
      </c>
      <c r="H253" s="404">
        <f>SUM(H238,H229,H220,H207,H198,H184,H174,H164,H154,H144,H135,H122,H112,H99,H86,H77,H68,H59,H48,H38)</f>
        <v>489924.25</v>
      </c>
      <c r="I253" s="404">
        <f>SUM(I238,I229,I220,I207,I198,I184,I174,I164,I154,I144,I135,I122,I112,I99,I86,I77,I68,I59,I48,I38)</f>
        <v>474955.64302000008</v>
      </c>
      <c r="J253" s="403">
        <f t="shared" si="107"/>
        <v>96.944709926075319</v>
      </c>
      <c r="K253" s="105"/>
      <c r="L253" s="723"/>
    </row>
    <row r="254" spans="1:12" ht="15" customHeight="1" x14ac:dyDescent="0.25">
      <c r="A254" s="35">
        <v>1</v>
      </c>
      <c r="B254" s="6"/>
      <c r="C254" s="303"/>
      <c r="D254" s="303"/>
      <c r="E254" s="303"/>
      <c r="F254" s="68"/>
      <c r="G254" s="361"/>
      <c r="H254" s="361"/>
      <c r="I254" s="361"/>
      <c r="J254" s="31"/>
      <c r="K254" s="105"/>
    </row>
    <row r="255" spans="1:12" ht="15" customHeight="1" thickBot="1" x14ac:dyDescent="0.3">
      <c r="A255" s="35">
        <v>1</v>
      </c>
      <c r="B255" s="201" t="s">
        <v>90</v>
      </c>
      <c r="C255" s="145"/>
      <c r="D255" s="145"/>
      <c r="E255" s="145"/>
      <c r="F255" s="145"/>
      <c r="G255" s="362"/>
      <c r="H255" s="362"/>
      <c r="I255" s="362"/>
      <c r="J255" s="651"/>
      <c r="K255" s="105"/>
    </row>
    <row r="256" spans="1:12" ht="29.25" customHeight="1" x14ac:dyDescent="0.25">
      <c r="A256" s="35">
        <v>1</v>
      </c>
      <c r="B256" s="117" t="s">
        <v>36</v>
      </c>
      <c r="C256" s="123"/>
      <c r="D256" s="123"/>
      <c r="E256" s="123"/>
      <c r="F256" s="123"/>
      <c r="G256" s="652"/>
      <c r="H256" s="652"/>
      <c r="I256" s="354"/>
      <c r="J256" s="123"/>
      <c r="K256" s="105"/>
    </row>
    <row r="257" spans="1:12" ht="30.75" customHeight="1" x14ac:dyDescent="0.25">
      <c r="A257" s="35">
        <v>1</v>
      </c>
      <c r="B257" s="227" t="s">
        <v>120</v>
      </c>
      <c r="C257" s="113">
        <f>SUM(C258:C261)</f>
        <v>2987</v>
      </c>
      <c r="D257" s="113">
        <f>SUM(D258:D261)</f>
        <v>1992</v>
      </c>
      <c r="E257" s="113">
        <f>SUM(E258:E261)</f>
        <v>2410</v>
      </c>
      <c r="F257" s="113">
        <f t="shared" ref="F257:F266" si="116">E257/D257*100</f>
        <v>120.98393574297188</v>
      </c>
      <c r="G257" s="596">
        <f>SUM(G258:G261)</f>
        <v>5092.2485500000003</v>
      </c>
      <c r="H257" s="596">
        <f>SUM(H258:H261)</f>
        <v>3394.8399999999997</v>
      </c>
      <c r="I257" s="596">
        <f>SUM(I258:I261)</f>
        <v>3694.8194199999994</v>
      </c>
      <c r="J257" s="113">
        <f t="shared" ref="J257:J268" si="117">I257/H257*100</f>
        <v>108.83633455479492</v>
      </c>
      <c r="K257" s="105"/>
    </row>
    <row r="258" spans="1:12" ht="31.5" customHeight="1" x14ac:dyDescent="0.25">
      <c r="A258" s="35">
        <v>1</v>
      </c>
      <c r="B258" s="71" t="s">
        <v>79</v>
      </c>
      <c r="C258" s="113">
        <v>2121</v>
      </c>
      <c r="D258" s="107">
        <f t="shared" ref="D258:D267" si="118">ROUND(C258/12*$B$3,0)</f>
        <v>1414</v>
      </c>
      <c r="E258" s="113">
        <v>1459</v>
      </c>
      <c r="F258" s="113">
        <f t="shared" si="116"/>
        <v>103.18246110325317</v>
      </c>
      <c r="G258" s="596">
        <v>2919.2939999999999</v>
      </c>
      <c r="H258" s="596">
        <f t="shared" ref="H258:H261" si="119">ROUND(G258/12*$B$3,2)</f>
        <v>1946.2</v>
      </c>
      <c r="I258" s="596">
        <v>1614.3741299999997</v>
      </c>
      <c r="J258" s="113">
        <f t="shared" si="117"/>
        <v>82.950063200082198</v>
      </c>
      <c r="K258" s="105"/>
    </row>
    <row r="259" spans="1:12" ht="30" customHeight="1" x14ac:dyDescent="0.25">
      <c r="A259" s="35">
        <v>1</v>
      </c>
      <c r="B259" s="71" t="s">
        <v>80</v>
      </c>
      <c r="C259" s="113">
        <v>636</v>
      </c>
      <c r="D259" s="107">
        <f t="shared" si="118"/>
        <v>424</v>
      </c>
      <c r="E259" s="113">
        <v>749</v>
      </c>
      <c r="F259" s="113">
        <f t="shared" si="116"/>
        <v>176.65094339622641</v>
      </c>
      <c r="G259" s="596">
        <v>915.22255000000007</v>
      </c>
      <c r="H259" s="596">
        <f t="shared" si="119"/>
        <v>610.15</v>
      </c>
      <c r="I259" s="596">
        <v>975.82848999999987</v>
      </c>
      <c r="J259" s="113">
        <f t="shared" si="117"/>
        <v>159.93255592886996</v>
      </c>
      <c r="K259" s="105"/>
    </row>
    <row r="260" spans="1:12" ht="28.5" customHeight="1" x14ac:dyDescent="0.25">
      <c r="A260" s="35">
        <v>1</v>
      </c>
      <c r="B260" s="71" t="s">
        <v>114</v>
      </c>
      <c r="C260" s="113">
        <v>130</v>
      </c>
      <c r="D260" s="107">
        <f t="shared" si="118"/>
        <v>87</v>
      </c>
      <c r="E260" s="113">
        <v>101</v>
      </c>
      <c r="F260" s="113">
        <f t="shared" si="116"/>
        <v>116.0919540229885</v>
      </c>
      <c r="G260" s="596">
        <v>710.89200000000005</v>
      </c>
      <c r="H260" s="596">
        <f t="shared" si="119"/>
        <v>473.93</v>
      </c>
      <c r="I260" s="596">
        <v>552.30840000000001</v>
      </c>
      <c r="J260" s="113">
        <f t="shared" si="117"/>
        <v>116.53796974236701</v>
      </c>
      <c r="K260" s="105"/>
    </row>
    <row r="261" spans="1:12" ht="33.75" customHeight="1" x14ac:dyDescent="0.25">
      <c r="A261" s="35">
        <v>1</v>
      </c>
      <c r="B261" s="71" t="s">
        <v>115</v>
      </c>
      <c r="C261" s="113">
        <v>100</v>
      </c>
      <c r="D261" s="107">
        <f t="shared" si="118"/>
        <v>67</v>
      </c>
      <c r="E261" s="113">
        <v>101</v>
      </c>
      <c r="F261" s="113">
        <f t="shared" si="116"/>
        <v>150.74626865671641</v>
      </c>
      <c r="G261" s="596">
        <v>546.84</v>
      </c>
      <c r="H261" s="596">
        <f t="shared" si="119"/>
        <v>364.56</v>
      </c>
      <c r="I261" s="596">
        <v>552.30840000000001</v>
      </c>
      <c r="J261" s="113">
        <f t="shared" si="117"/>
        <v>151.5</v>
      </c>
      <c r="K261" s="105"/>
    </row>
    <row r="262" spans="1:12" ht="30" x14ac:dyDescent="0.25">
      <c r="A262" s="35">
        <v>1</v>
      </c>
      <c r="B262" s="227" t="s">
        <v>112</v>
      </c>
      <c r="C262" s="113">
        <f>SUM(C263:C265)</f>
        <v>6270</v>
      </c>
      <c r="D262" s="113">
        <f>SUM(D263:D265)</f>
        <v>4180</v>
      </c>
      <c r="E262" s="113">
        <f>SUM(E263:E265)</f>
        <v>976</v>
      </c>
      <c r="F262" s="113">
        <f t="shared" si="116"/>
        <v>23.349282296650717</v>
      </c>
      <c r="G262" s="596">
        <f>SUM(G263:G265)</f>
        <v>11715.552</v>
      </c>
      <c r="H262" s="596">
        <f>SUM(H263:H265)</f>
        <v>7810.37</v>
      </c>
      <c r="I262" s="596">
        <f>SUM(I263:I265)</f>
        <v>1198.48614</v>
      </c>
      <c r="J262" s="113">
        <f t="shared" si="117"/>
        <v>15.344806199962358</v>
      </c>
      <c r="K262" s="105"/>
    </row>
    <row r="263" spans="1:12" ht="30" x14ac:dyDescent="0.25">
      <c r="A263" s="35">
        <v>1</v>
      </c>
      <c r="B263" s="71" t="s">
        <v>108</v>
      </c>
      <c r="C263" s="113">
        <v>720</v>
      </c>
      <c r="D263" s="107">
        <f t="shared" si="118"/>
        <v>480</v>
      </c>
      <c r="E263" s="113">
        <v>426</v>
      </c>
      <c r="F263" s="113">
        <f t="shared" si="116"/>
        <v>88.75</v>
      </c>
      <c r="G263" s="596">
        <f>1272312/1000</f>
        <v>1272.3119999999999</v>
      </c>
      <c r="H263" s="596">
        <f t="shared" ref="H263:H267" si="120">ROUND(G263/12*$B$3,2)</f>
        <v>848.21</v>
      </c>
      <c r="I263" s="596">
        <v>742.08662000000004</v>
      </c>
      <c r="J263" s="113">
        <f t="shared" si="117"/>
        <v>87.488548826351959</v>
      </c>
      <c r="K263" s="105"/>
    </row>
    <row r="264" spans="1:12" ht="43.5" customHeight="1" x14ac:dyDescent="0.25">
      <c r="A264" s="35">
        <v>1</v>
      </c>
      <c r="B264" s="71" t="s">
        <v>118</v>
      </c>
      <c r="C264" s="113">
        <v>4000</v>
      </c>
      <c r="D264" s="107">
        <f t="shared" si="118"/>
        <v>2667</v>
      </c>
      <c r="E264" s="113">
        <v>298</v>
      </c>
      <c r="F264" s="113">
        <f t="shared" si="116"/>
        <v>11.173603299587551</v>
      </c>
      <c r="G264" s="596">
        <f>9177200/1000</f>
        <v>9177.2000000000007</v>
      </c>
      <c r="H264" s="596">
        <f t="shared" si="120"/>
        <v>6118.13</v>
      </c>
      <c r="I264" s="596">
        <v>282.19001000000003</v>
      </c>
      <c r="J264" s="113">
        <f t="shared" si="117"/>
        <v>4.6123572071858563</v>
      </c>
      <c r="K264" s="105"/>
    </row>
    <row r="265" spans="1:12" ht="28.5" customHeight="1" x14ac:dyDescent="0.25">
      <c r="A265" s="35">
        <v>1</v>
      </c>
      <c r="B265" s="71" t="s">
        <v>109</v>
      </c>
      <c r="C265" s="113">
        <v>1550</v>
      </c>
      <c r="D265" s="107">
        <f t="shared" si="118"/>
        <v>1033</v>
      </c>
      <c r="E265" s="113">
        <v>252</v>
      </c>
      <c r="F265" s="113">
        <f t="shared" si="116"/>
        <v>24.394966118102616</v>
      </c>
      <c r="G265" s="596">
        <f>1266040/1000</f>
        <v>1266.04</v>
      </c>
      <c r="H265" s="596">
        <f t="shared" si="120"/>
        <v>844.03</v>
      </c>
      <c r="I265" s="596">
        <v>174.20951000000002</v>
      </c>
      <c r="J265" s="113">
        <f t="shared" si="117"/>
        <v>20.64020354726728</v>
      </c>
      <c r="K265" s="105"/>
    </row>
    <row r="266" spans="1:12" s="106" customFormat="1" ht="33" customHeight="1" x14ac:dyDescent="0.25">
      <c r="A266" s="35">
        <v>1</v>
      </c>
      <c r="B266" s="116" t="s">
        <v>123</v>
      </c>
      <c r="C266" s="113">
        <v>10781</v>
      </c>
      <c r="D266" s="107">
        <f t="shared" si="118"/>
        <v>7187</v>
      </c>
      <c r="E266" s="113">
        <v>7929</v>
      </c>
      <c r="F266" s="113">
        <f t="shared" si="116"/>
        <v>110.32419646584111</v>
      </c>
      <c r="G266" s="596">
        <v>8743.6066199999987</v>
      </c>
      <c r="H266" s="596">
        <f t="shared" si="120"/>
        <v>5829.07</v>
      </c>
      <c r="I266" s="596">
        <f>6389.51781+I267</f>
        <v>6384.7981300000001</v>
      </c>
      <c r="J266" s="113">
        <f t="shared" si="117"/>
        <v>109.5337357417221</v>
      </c>
      <c r="K266" s="105"/>
      <c r="L266" s="723"/>
    </row>
    <row r="267" spans="1:12" s="106" customFormat="1" ht="23.25" customHeight="1" thickBot="1" x14ac:dyDescent="0.3">
      <c r="A267" s="35"/>
      <c r="B267" s="667" t="s">
        <v>125</v>
      </c>
      <c r="C267" s="621"/>
      <c r="D267" s="620">
        <f t="shared" si="118"/>
        <v>0</v>
      </c>
      <c r="E267" s="621">
        <v>0</v>
      </c>
      <c r="F267" s="621"/>
      <c r="G267" s="657"/>
      <c r="H267" s="657">
        <f t="shared" si="120"/>
        <v>0</v>
      </c>
      <c r="I267" s="657">
        <v>-4.7196800000000003</v>
      </c>
      <c r="J267" s="621" t="e">
        <f>I267/E267*100</f>
        <v>#DIV/0!</v>
      </c>
      <c r="K267" s="105"/>
      <c r="L267" s="723"/>
    </row>
    <row r="268" spans="1:12" s="13" customFormat="1" ht="15.75" thickBot="1" x14ac:dyDescent="0.3">
      <c r="A268" s="35">
        <v>1</v>
      </c>
      <c r="B268" s="204" t="s">
        <v>3</v>
      </c>
      <c r="C268" s="339"/>
      <c r="D268" s="339"/>
      <c r="E268" s="339"/>
      <c r="F268" s="338"/>
      <c r="G268" s="388">
        <f>G262+G257+G266</f>
        <v>25551.407169999999</v>
      </c>
      <c r="H268" s="388">
        <f>H262+H257+H266</f>
        <v>17034.28</v>
      </c>
      <c r="I268" s="388">
        <f>I262+I257+I266</f>
        <v>11278.10369</v>
      </c>
      <c r="J268" s="339">
        <f t="shared" si="117"/>
        <v>66.208279363730085</v>
      </c>
      <c r="K268" s="105"/>
      <c r="L268" s="723"/>
    </row>
    <row r="269" spans="1:12" ht="15" customHeight="1" thickBot="1" x14ac:dyDescent="0.3">
      <c r="A269" s="35">
        <v>1</v>
      </c>
      <c r="B269" s="35"/>
      <c r="C269" s="205"/>
      <c r="D269" s="205"/>
      <c r="E269" s="205"/>
      <c r="F269" s="432"/>
      <c r="G269" s="391"/>
      <c r="H269" s="391"/>
      <c r="I269" s="363"/>
      <c r="J269" s="206"/>
      <c r="K269" s="105"/>
    </row>
    <row r="270" spans="1:12" ht="15" customHeight="1" x14ac:dyDescent="0.25">
      <c r="A270" s="35">
        <v>1</v>
      </c>
      <c r="B270" s="287" t="s">
        <v>38</v>
      </c>
      <c r="C270" s="288"/>
      <c r="D270" s="288"/>
      <c r="E270" s="288"/>
      <c r="F270" s="288"/>
      <c r="G270" s="364"/>
      <c r="H270" s="364"/>
      <c r="I270" s="364"/>
      <c r="J270" s="289"/>
      <c r="K270" s="105"/>
    </row>
    <row r="271" spans="1:12" ht="45.75" customHeight="1" x14ac:dyDescent="0.25">
      <c r="A271" s="35">
        <v>1</v>
      </c>
      <c r="B271" s="208" t="s">
        <v>120</v>
      </c>
      <c r="C271" s="209">
        <f t="shared" ref="C271:I279" si="121">C257</f>
        <v>2987</v>
      </c>
      <c r="D271" s="209">
        <f t="shared" si="121"/>
        <v>1992</v>
      </c>
      <c r="E271" s="209">
        <f t="shared" si="121"/>
        <v>2410</v>
      </c>
      <c r="F271" s="433">
        <f t="shared" si="121"/>
        <v>120.98393574297188</v>
      </c>
      <c r="G271" s="451">
        <f t="shared" si="121"/>
        <v>5092.2485500000003</v>
      </c>
      <c r="H271" s="451">
        <f t="shared" si="121"/>
        <v>3394.8399999999997</v>
      </c>
      <c r="I271" s="451">
        <f t="shared" si="121"/>
        <v>3694.8194199999994</v>
      </c>
      <c r="J271" s="209">
        <f t="shared" ref="J271:J278" si="122">I271/H271*100</f>
        <v>108.83633455479492</v>
      </c>
      <c r="K271" s="105"/>
    </row>
    <row r="272" spans="1:12" ht="32.25" customHeight="1" x14ac:dyDescent="0.25">
      <c r="A272" s="35">
        <v>1</v>
      </c>
      <c r="B272" s="207" t="s">
        <v>79</v>
      </c>
      <c r="C272" s="209">
        <f t="shared" si="121"/>
        <v>2121</v>
      </c>
      <c r="D272" s="209">
        <f t="shared" si="121"/>
        <v>1414</v>
      </c>
      <c r="E272" s="209">
        <f t="shared" si="121"/>
        <v>1459</v>
      </c>
      <c r="F272" s="433">
        <f t="shared" si="121"/>
        <v>103.18246110325317</v>
      </c>
      <c r="G272" s="451">
        <f t="shared" si="121"/>
        <v>2919.2939999999999</v>
      </c>
      <c r="H272" s="451">
        <f t="shared" si="121"/>
        <v>1946.2</v>
      </c>
      <c r="I272" s="451">
        <f t="shared" si="121"/>
        <v>1614.3741299999997</v>
      </c>
      <c r="J272" s="451">
        <f t="shared" si="122"/>
        <v>82.950063200082198</v>
      </c>
      <c r="K272" s="105"/>
    </row>
    <row r="273" spans="1:12" ht="38.25" customHeight="1" x14ac:dyDescent="0.25">
      <c r="A273" s="35">
        <v>1</v>
      </c>
      <c r="B273" s="207" t="s">
        <v>80</v>
      </c>
      <c r="C273" s="209">
        <f t="shared" si="121"/>
        <v>636</v>
      </c>
      <c r="D273" s="209">
        <f t="shared" si="121"/>
        <v>424</v>
      </c>
      <c r="E273" s="209">
        <f t="shared" si="121"/>
        <v>749</v>
      </c>
      <c r="F273" s="433">
        <f t="shared" si="121"/>
        <v>176.65094339622641</v>
      </c>
      <c r="G273" s="451">
        <f t="shared" si="121"/>
        <v>915.22255000000007</v>
      </c>
      <c r="H273" s="451">
        <f t="shared" si="121"/>
        <v>610.15</v>
      </c>
      <c r="I273" s="451">
        <f t="shared" si="121"/>
        <v>975.82848999999987</v>
      </c>
      <c r="J273" s="209">
        <f t="shared" si="122"/>
        <v>159.93255592886996</v>
      </c>
      <c r="K273" s="105"/>
    </row>
    <row r="274" spans="1:12" ht="51" customHeight="1" x14ac:dyDescent="0.25">
      <c r="A274" s="35">
        <v>1</v>
      </c>
      <c r="B274" s="207" t="s">
        <v>114</v>
      </c>
      <c r="C274" s="209">
        <f t="shared" si="121"/>
        <v>130</v>
      </c>
      <c r="D274" s="209">
        <f t="shared" si="121"/>
        <v>87</v>
      </c>
      <c r="E274" s="209">
        <f t="shared" si="121"/>
        <v>101</v>
      </c>
      <c r="F274" s="433">
        <f t="shared" si="121"/>
        <v>116.0919540229885</v>
      </c>
      <c r="G274" s="451">
        <f t="shared" si="121"/>
        <v>710.89200000000005</v>
      </c>
      <c r="H274" s="451">
        <f t="shared" si="121"/>
        <v>473.93</v>
      </c>
      <c r="I274" s="451">
        <f t="shared" si="121"/>
        <v>552.30840000000001</v>
      </c>
      <c r="J274" s="209">
        <f t="shared" si="122"/>
        <v>116.53796974236701</v>
      </c>
      <c r="K274" s="105"/>
    </row>
    <row r="275" spans="1:12" ht="38.25" customHeight="1" x14ac:dyDescent="0.25">
      <c r="A275" s="35">
        <v>1</v>
      </c>
      <c r="B275" s="207" t="s">
        <v>115</v>
      </c>
      <c r="C275" s="209">
        <f t="shared" si="121"/>
        <v>100</v>
      </c>
      <c r="D275" s="209">
        <f t="shared" si="121"/>
        <v>67</v>
      </c>
      <c r="E275" s="209">
        <f t="shared" si="121"/>
        <v>101</v>
      </c>
      <c r="F275" s="433">
        <f t="shared" si="121"/>
        <v>150.74626865671641</v>
      </c>
      <c r="G275" s="451">
        <f t="shared" si="121"/>
        <v>546.84</v>
      </c>
      <c r="H275" s="451">
        <f t="shared" si="121"/>
        <v>364.56</v>
      </c>
      <c r="I275" s="451">
        <f t="shared" si="121"/>
        <v>552.30840000000001</v>
      </c>
      <c r="J275" s="209">
        <f t="shared" si="122"/>
        <v>151.5</v>
      </c>
      <c r="K275" s="105"/>
    </row>
    <row r="276" spans="1:12" ht="30" x14ac:dyDescent="0.25">
      <c r="A276" s="35">
        <v>1</v>
      </c>
      <c r="B276" s="208" t="s">
        <v>112</v>
      </c>
      <c r="C276" s="209">
        <f t="shared" si="121"/>
        <v>6270</v>
      </c>
      <c r="D276" s="209">
        <f t="shared" si="121"/>
        <v>4180</v>
      </c>
      <c r="E276" s="209">
        <f t="shared" si="121"/>
        <v>976</v>
      </c>
      <c r="F276" s="433">
        <f t="shared" si="121"/>
        <v>23.349282296650717</v>
      </c>
      <c r="G276" s="451">
        <f t="shared" si="121"/>
        <v>11715.552</v>
      </c>
      <c r="H276" s="451">
        <f t="shared" si="121"/>
        <v>7810.37</v>
      </c>
      <c r="I276" s="451">
        <f t="shared" si="121"/>
        <v>1198.48614</v>
      </c>
      <c r="J276" s="209">
        <f t="shared" si="122"/>
        <v>15.344806199962358</v>
      </c>
      <c r="K276" s="105"/>
    </row>
    <row r="277" spans="1:12" ht="30" x14ac:dyDescent="0.25">
      <c r="A277" s="35">
        <v>1</v>
      </c>
      <c r="B277" s="207" t="s">
        <v>108</v>
      </c>
      <c r="C277" s="209">
        <f t="shared" si="121"/>
        <v>720</v>
      </c>
      <c r="D277" s="209">
        <f t="shared" si="121"/>
        <v>480</v>
      </c>
      <c r="E277" s="209">
        <f t="shared" si="121"/>
        <v>426</v>
      </c>
      <c r="F277" s="433">
        <f t="shared" si="121"/>
        <v>88.75</v>
      </c>
      <c r="G277" s="451">
        <f t="shared" si="121"/>
        <v>1272.3119999999999</v>
      </c>
      <c r="H277" s="451">
        <f t="shared" si="121"/>
        <v>848.21</v>
      </c>
      <c r="I277" s="451">
        <f t="shared" si="121"/>
        <v>742.08662000000004</v>
      </c>
      <c r="J277" s="209">
        <f>J263</f>
        <v>87.488548826351959</v>
      </c>
      <c r="K277" s="105"/>
    </row>
    <row r="278" spans="1:12" ht="44.25" customHeight="1" x14ac:dyDescent="0.25">
      <c r="A278" s="35">
        <v>1</v>
      </c>
      <c r="B278" s="207" t="s">
        <v>81</v>
      </c>
      <c r="C278" s="209">
        <f t="shared" si="121"/>
        <v>4000</v>
      </c>
      <c r="D278" s="209">
        <f t="shared" si="121"/>
        <v>2667</v>
      </c>
      <c r="E278" s="209">
        <f t="shared" si="121"/>
        <v>298</v>
      </c>
      <c r="F278" s="433">
        <f t="shared" si="121"/>
        <v>11.173603299587551</v>
      </c>
      <c r="G278" s="451">
        <f t="shared" si="121"/>
        <v>9177.2000000000007</v>
      </c>
      <c r="H278" s="451">
        <f t="shared" si="121"/>
        <v>6118.13</v>
      </c>
      <c r="I278" s="451">
        <f t="shared" si="121"/>
        <v>282.19001000000003</v>
      </c>
      <c r="J278" s="209">
        <f t="shared" si="122"/>
        <v>4.6123572071858563</v>
      </c>
      <c r="K278" s="105"/>
    </row>
    <row r="279" spans="1:12" ht="44.25" customHeight="1" x14ac:dyDescent="0.25">
      <c r="A279" s="35">
        <v>1</v>
      </c>
      <c r="B279" s="207" t="s">
        <v>109</v>
      </c>
      <c r="C279" s="209">
        <f t="shared" si="121"/>
        <v>1550</v>
      </c>
      <c r="D279" s="209">
        <f t="shared" si="121"/>
        <v>1033</v>
      </c>
      <c r="E279" s="209">
        <f t="shared" si="121"/>
        <v>252</v>
      </c>
      <c r="F279" s="433">
        <f t="shared" si="121"/>
        <v>24.394966118102616</v>
      </c>
      <c r="G279" s="451">
        <f t="shared" si="121"/>
        <v>1266.04</v>
      </c>
      <c r="H279" s="451">
        <f t="shared" si="121"/>
        <v>844.03</v>
      </c>
      <c r="I279" s="451">
        <f t="shared" si="121"/>
        <v>174.20951000000002</v>
      </c>
      <c r="J279" s="209">
        <f>J265</f>
        <v>20.64020354726728</v>
      </c>
      <c r="K279" s="105"/>
    </row>
    <row r="280" spans="1:12" ht="38.25" customHeight="1" x14ac:dyDescent="0.25">
      <c r="B280" s="207" t="s">
        <v>123</v>
      </c>
      <c r="C280" s="669">
        <f t="shared" ref="C280:J281" si="123">SUM(C266)</f>
        <v>10781</v>
      </c>
      <c r="D280" s="669">
        <f t="shared" si="123"/>
        <v>7187</v>
      </c>
      <c r="E280" s="669">
        <f t="shared" si="123"/>
        <v>7929</v>
      </c>
      <c r="F280" s="669">
        <f t="shared" si="123"/>
        <v>110.32419646584111</v>
      </c>
      <c r="G280" s="669">
        <f t="shared" si="123"/>
        <v>8743.6066199999987</v>
      </c>
      <c r="H280" s="669">
        <f t="shared" si="123"/>
        <v>5829.07</v>
      </c>
      <c r="I280" s="669">
        <f t="shared" si="123"/>
        <v>6384.7981300000001</v>
      </c>
      <c r="J280" s="669">
        <f t="shared" si="123"/>
        <v>109.5337357417221</v>
      </c>
      <c r="K280" s="105"/>
    </row>
    <row r="281" spans="1:12" ht="28.5" customHeight="1" thickBot="1" x14ac:dyDescent="0.3">
      <c r="B281" s="668" t="s">
        <v>125</v>
      </c>
      <c r="C281" s="669">
        <f t="shared" si="123"/>
        <v>0</v>
      </c>
      <c r="D281" s="669">
        <f t="shared" si="123"/>
        <v>0</v>
      </c>
      <c r="E281" s="669">
        <f t="shared" si="123"/>
        <v>0</v>
      </c>
      <c r="F281" s="669">
        <f t="shared" si="123"/>
        <v>0</v>
      </c>
      <c r="G281" s="669">
        <f t="shared" si="123"/>
        <v>0</v>
      </c>
      <c r="H281" s="669">
        <f t="shared" si="123"/>
        <v>0</v>
      </c>
      <c r="I281" s="669">
        <f t="shared" si="123"/>
        <v>-4.7196800000000003</v>
      </c>
      <c r="J281" s="669" t="e">
        <f t="shared" si="123"/>
        <v>#DIV/0!</v>
      </c>
      <c r="K281" s="105"/>
    </row>
    <row r="282" spans="1:12" s="33" customFormat="1" ht="17.25" customHeight="1" thickBot="1" x14ac:dyDescent="0.3">
      <c r="A282" s="35">
        <v>1</v>
      </c>
      <c r="B282" s="397" t="s">
        <v>117</v>
      </c>
      <c r="C282" s="398"/>
      <c r="D282" s="398"/>
      <c r="E282" s="398"/>
      <c r="F282" s="399"/>
      <c r="G282" s="400">
        <f>G268</f>
        <v>25551.407169999999</v>
      </c>
      <c r="H282" s="400">
        <f>H268</f>
        <v>17034.28</v>
      </c>
      <c r="I282" s="400">
        <f>I268</f>
        <v>11278.10369</v>
      </c>
      <c r="J282" s="400">
        <f>J268</f>
        <v>66.208279363730085</v>
      </c>
      <c r="K282" s="105"/>
      <c r="L282" s="723"/>
    </row>
    <row r="283" spans="1:12" s="33" customFormat="1" ht="17.25" customHeight="1" x14ac:dyDescent="0.25">
      <c r="A283" s="35">
        <v>1</v>
      </c>
      <c r="B283" s="203"/>
      <c r="C283" s="304"/>
      <c r="D283" s="304"/>
      <c r="E283" s="304"/>
      <c r="F283" s="68"/>
      <c r="G283" s="365"/>
      <c r="H283" s="365"/>
      <c r="I283" s="365"/>
      <c r="J283" s="40"/>
      <c r="K283" s="105"/>
      <c r="L283" s="723"/>
    </row>
    <row r="284" spans="1:12" ht="29.25" x14ac:dyDescent="0.25">
      <c r="A284" s="35">
        <v>1</v>
      </c>
      <c r="B284" s="305" t="s">
        <v>39</v>
      </c>
      <c r="C284" s="598"/>
      <c r="D284" s="142"/>
      <c r="E284" s="142"/>
      <c r="F284" s="142"/>
      <c r="G284" s="366"/>
      <c r="H284" s="366"/>
      <c r="I284" s="366"/>
      <c r="J284" s="147"/>
      <c r="K284" s="105"/>
    </row>
    <row r="285" spans="1:12" ht="36" customHeight="1" x14ac:dyDescent="0.25">
      <c r="A285" s="35">
        <v>1</v>
      </c>
      <c r="B285" s="454" t="s">
        <v>120</v>
      </c>
      <c r="C285" s="113">
        <f>SUM(C286:C289)</f>
        <v>4015</v>
      </c>
      <c r="D285" s="113">
        <f>SUM(D286:D289)</f>
        <v>2677</v>
      </c>
      <c r="E285" s="113">
        <f>SUM(E286:E289)</f>
        <v>975</v>
      </c>
      <c r="F285" s="118">
        <f t="shared" ref="F285:F293" si="124">E285/D285*100</f>
        <v>36.421367202091893</v>
      </c>
      <c r="G285" s="596">
        <f>SUM(G286:G289)</f>
        <v>7369.6050500000001</v>
      </c>
      <c r="H285" s="596">
        <f>SUM(H286:H289)</f>
        <v>4913.07</v>
      </c>
      <c r="I285" s="596">
        <f>SUM(I286:I289)</f>
        <v>2353.1381200000001</v>
      </c>
      <c r="J285" s="113">
        <f t="shared" ref="J285:J296" si="125">I285/H285*100</f>
        <v>47.89547309523374</v>
      </c>
      <c r="K285" s="105"/>
    </row>
    <row r="286" spans="1:12" ht="31.5" customHeight="1" x14ac:dyDescent="0.25">
      <c r="A286" s="35">
        <v>1</v>
      </c>
      <c r="B286" s="71" t="s">
        <v>79</v>
      </c>
      <c r="C286" s="113">
        <v>2788</v>
      </c>
      <c r="D286" s="107">
        <f t="shared" ref="D286:D293" si="126">ROUND(C286/12*$B$3,0)</f>
        <v>1859</v>
      </c>
      <c r="E286" s="113">
        <v>731</v>
      </c>
      <c r="F286" s="118">
        <f t="shared" si="124"/>
        <v>39.32221624529317</v>
      </c>
      <c r="G286" s="596">
        <v>3965.808</v>
      </c>
      <c r="H286" s="596">
        <f t="shared" ref="H286:H289" si="127">ROUND(G286/12*$B$3,2)</f>
        <v>2643.87</v>
      </c>
      <c r="I286" s="596">
        <v>1025.2131900000002</v>
      </c>
      <c r="J286" s="113">
        <f t="shared" si="125"/>
        <v>38.776989413246497</v>
      </c>
      <c r="K286" s="105"/>
    </row>
    <row r="287" spans="1:12" ht="33" customHeight="1" x14ac:dyDescent="0.25">
      <c r="A287" s="35">
        <v>1</v>
      </c>
      <c r="B287" s="71" t="s">
        <v>80</v>
      </c>
      <c r="C287" s="113">
        <v>837</v>
      </c>
      <c r="D287" s="107">
        <f t="shared" si="126"/>
        <v>558</v>
      </c>
      <c r="E287" s="113">
        <v>1</v>
      </c>
      <c r="F287" s="118">
        <f t="shared" si="124"/>
        <v>0.17921146953405018</v>
      </c>
      <c r="G287" s="596">
        <v>1271.12105</v>
      </c>
      <c r="H287" s="596">
        <f t="shared" si="127"/>
        <v>847.41</v>
      </c>
      <c r="I287" s="596">
        <v>-0.8962699999999999</v>
      </c>
      <c r="J287" s="113">
        <f t="shared" si="125"/>
        <v>-0.10576580403818694</v>
      </c>
      <c r="K287" s="105"/>
    </row>
    <row r="288" spans="1:12" ht="30" x14ac:dyDescent="0.25">
      <c r="A288" s="35">
        <v>1</v>
      </c>
      <c r="B288" s="71" t="s">
        <v>114</v>
      </c>
      <c r="C288" s="113">
        <v>160</v>
      </c>
      <c r="D288" s="107">
        <f t="shared" si="126"/>
        <v>107</v>
      </c>
      <c r="E288" s="113">
        <v>115</v>
      </c>
      <c r="F288" s="118">
        <f t="shared" si="124"/>
        <v>107.4766355140187</v>
      </c>
      <c r="G288" s="596">
        <v>874.94399999999996</v>
      </c>
      <c r="H288" s="596">
        <f t="shared" si="127"/>
        <v>583.29999999999995</v>
      </c>
      <c r="I288" s="596">
        <v>628.86599999999999</v>
      </c>
      <c r="J288" s="113">
        <f t="shared" si="125"/>
        <v>107.81176067203842</v>
      </c>
      <c r="K288" s="105"/>
    </row>
    <row r="289" spans="1:12" ht="34.5" customHeight="1" x14ac:dyDescent="0.25">
      <c r="A289" s="35">
        <v>1</v>
      </c>
      <c r="B289" s="71" t="s">
        <v>115</v>
      </c>
      <c r="C289" s="113">
        <v>230</v>
      </c>
      <c r="D289" s="107">
        <f t="shared" si="126"/>
        <v>153</v>
      </c>
      <c r="E289" s="113">
        <v>128</v>
      </c>
      <c r="F289" s="118">
        <f t="shared" si="124"/>
        <v>83.66013071895425</v>
      </c>
      <c r="G289" s="596">
        <v>1257.732</v>
      </c>
      <c r="H289" s="596">
        <f t="shared" si="127"/>
        <v>838.49</v>
      </c>
      <c r="I289" s="596">
        <v>699.95519999999999</v>
      </c>
      <c r="J289" s="113">
        <f t="shared" si="125"/>
        <v>83.478061753867067</v>
      </c>
      <c r="K289" s="105"/>
    </row>
    <row r="290" spans="1:12" ht="44.25" customHeight="1" x14ac:dyDescent="0.25">
      <c r="A290" s="35">
        <v>1</v>
      </c>
      <c r="B290" s="227" t="s">
        <v>112</v>
      </c>
      <c r="C290" s="113">
        <f>SUM(C291:C293)</f>
        <v>5859</v>
      </c>
      <c r="D290" s="113">
        <f>SUM(D291:D293)</f>
        <v>3906</v>
      </c>
      <c r="E290" s="113">
        <f>SUM(E291:E293)</f>
        <v>3232</v>
      </c>
      <c r="F290" s="118">
        <f t="shared" si="124"/>
        <v>82.74449564772145</v>
      </c>
      <c r="G290" s="596">
        <f>SUM(G291:G293)</f>
        <v>12236.931200000001</v>
      </c>
      <c r="H290" s="596">
        <f>SUM(H291:H293)</f>
        <v>8157.9599999999991</v>
      </c>
      <c r="I290" s="596">
        <f>SUM(I291:I293)</f>
        <v>7711.8541800000003</v>
      </c>
      <c r="J290" s="113">
        <f t="shared" si="125"/>
        <v>94.531649824220779</v>
      </c>
      <c r="K290" s="105"/>
    </row>
    <row r="291" spans="1:12" ht="30" x14ac:dyDescent="0.25">
      <c r="A291" s="35">
        <v>1</v>
      </c>
      <c r="B291" s="71" t="s">
        <v>108</v>
      </c>
      <c r="C291" s="113">
        <v>1000</v>
      </c>
      <c r="D291" s="107">
        <f t="shared" si="126"/>
        <v>667</v>
      </c>
      <c r="E291" s="113">
        <v>861</v>
      </c>
      <c r="F291" s="118">
        <f t="shared" si="124"/>
        <v>129.08545727136431</v>
      </c>
      <c r="G291" s="596">
        <f>1767100/1000</f>
        <v>1767.1</v>
      </c>
      <c r="H291" s="596">
        <f t="shared" ref="H291:H295" si="128">ROUND(G291/12*$B$3,2)</f>
        <v>1178.07</v>
      </c>
      <c r="I291" s="596">
        <v>1538.9505800000002</v>
      </c>
      <c r="J291" s="113">
        <f t="shared" si="125"/>
        <v>130.63320345989629</v>
      </c>
      <c r="K291" s="105"/>
    </row>
    <row r="292" spans="1:12" ht="45" customHeight="1" x14ac:dyDescent="0.25">
      <c r="A292" s="35">
        <v>1</v>
      </c>
      <c r="B292" s="71" t="s">
        <v>118</v>
      </c>
      <c r="C292" s="113">
        <v>4400</v>
      </c>
      <c r="D292" s="107">
        <f t="shared" si="126"/>
        <v>2933</v>
      </c>
      <c r="E292" s="113">
        <v>2309</v>
      </c>
      <c r="F292" s="118">
        <f t="shared" si="124"/>
        <v>78.724855097170135</v>
      </c>
      <c r="G292" s="596">
        <f>10094920/1000</f>
        <v>10094.92</v>
      </c>
      <c r="H292" s="596">
        <f t="shared" si="128"/>
        <v>6729.95</v>
      </c>
      <c r="I292" s="596">
        <v>6125.6236399999998</v>
      </c>
      <c r="J292" s="113">
        <f t="shared" si="125"/>
        <v>91.020343984724988</v>
      </c>
      <c r="K292" s="105"/>
    </row>
    <row r="293" spans="1:12" ht="45" customHeight="1" x14ac:dyDescent="0.25">
      <c r="A293" s="35">
        <v>1</v>
      </c>
      <c r="B293" s="71" t="s">
        <v>109</v>
      </c>
      <c r="C293" s="113">
        <v>459</v>
      </c>
      <c r="D293" s="107">
        <f t="shared" si="126"/>
        <v>306</v>
      </c>
      <c r="E293" s="113">
        <v>62</v>
      </c>
      <c r="F293" s="118">
        <f t="shared" si="124"/>
        <v>20.261437908496731</v>
      </c>
      <c r="G293" s="596">
        <f>374911.2/1000</f>
        <v>374.91120000000001</v>
      </c>
      <c r="H293" s="596">
        <f t="shared" si="128"/>
        <v>249.94</v>
      </c>
      <c r="I293" s="596">
        <v>47.279960000000003</v>
      </c>
      <c r="J293" s="113">
        <f t="shared" si="125"/>
        <v>18.916523965751779</v>
      </c>
      <c r="K293" s="105"/>
    </row>
    <row r="294" spans="1:12" s="106" customFormat="1" ht="30" x14ac:dyDescent="0.25">
      <c r="B294" s="116" t="s">
        <v>123</v>
      </c>
      <c r="C294" s="113">
        <v>12363</v>
      </c>
      <c r="D294" s="107">
        <f>ROUND(C294/12*$B$3,0)</f>
        <v>8242</v>
      </c>
      <c r="E294" s="113">
        <f>3249+E295</f>
        <v>4147</v>
      </c>
      <c r="F294" s="118">
        <f>E294/D294*100</f>
        <v>50.315457413249206</v>
      </c>
      <c r="G294" s="596">
        <v>10026.64026</v>
      </c>
      <c r="H294" s="596">
        <f t="shared" si="128"/>
        <v>6684.43</v>
      </c>
      <c r="I294" s="596">
        <f>2633.39287+I295</f>
        <v>3359.6661100000001</v>
      </c>
      <c r="J294" s="113">
        <f>I294/H294*100</f>
        <v>50.261071026250562</v>
      </c>
      <c r="K294" s="105"/>
      <c r="L294" s="723"/>
    </row>
    <row r="295" spans="1:12" s="106" customFormat="1" ht="15.75" thickBot="1" x14ac:dyDescent="0.3">
      <c r="B295" s="667" t="s">
        <v>125</v>
      </c>
      <c r="C295" s="621">
        <v>6500</v>
      </c>
      <c r="D295" s="107">
        <f>ROUND(C295/12*$B$3,0)</f>
        <v>4333</v>
      </c>
      <c r="E295" s="621">
        <v>898</v>
      </c>
      <c r="F295" s="140">
        <f>E295/D295*100</f>
        <v>20.724671128548351</v>
      </c>
      <c r="G295" s="657">
        <v>5271.63</v>
      </c>
      <c r="H295" s="596">
        <f t="shared" si="128"/>
        <v>3514.42</v>
      </c>
      <c r="I295" s="657">
        <v>726.27323999999999</v>
      </c>
      <c r="J295" s="113">
        <f>I295/H295*100</f>
        <v>20.66552204915747</v>
      </c>
      <c r="K295" s="105"/>
      <c r="L295" s="723"/>
    </row>
    <row r="296" spans="1:12" s="13" customFormat="1" ht="15.75" thickBot="1" x14ac:dyDescent="0.3">
      <c r="A296" s="35">
        <v>1</v>
      </c>
      <c r="B296" s="111" t="s">
        <v>3</v>
      </c>
      <c r="C296" s="339"/>
      <c r="D296" s="339"/>
      <c r="E296" s="339"/>
      <c r="F296" s="380"/>
      <c r="G296" s="388">
        <f>G290+G285+G294</f>
        <v>29633.176510000001</v>
      </c>
      <c r="H296" s="388">
        <f>H290+H285+H294</f>
        <v>19755.46</v>
      </c>
      <c r="I296" s="388">
        <f>I290+I285+I294</f>
        <v>13424.65841</v>
      </c>
      <c r="J296" s="339">
        <f t="shared" si="125"/>
        <v>67.954167657953803</v>
      </c>
      <c r="K296" s="105"/>
      <c r="L296" s="723"/>
    </row>
    <row r="297" spans="1:12" ht="35.25" customHeight="1" x14ac:dyDescent="0.25">
      <c r="A297" s="35">
        <v>1</v>
      </c>
      <c r="B297" s="405" t="s">
        <v>37</v>
      </c>
      <c r="C297" s="406"/>
      <c r="D297" s="406"/>
      <c r="E297" s="406"/>
      <c r="F297" s="434"/>
      <c r="G297" s="407"/>
      <c r="H297" s="407"/>
      <c r="I297" s="407"/>
      <c r="J297" s="408"/>
      <c r="K297" s="105"/>
    </row>
    <row r="298" spans="1:12" ht="30" x14ac:dyDescent="0.25">
      <c r="A298" s="35">
        <v>1</v>
      </c>
      <c r="B298" s="223" t="s">
        <v>120</v>
      </c>
      <c r="C298" s="215">
        <f t="shared" ref="C298:J308" si="129">C285</f>
        <v>4015</v>
      </c>
      <c r="D298" s="215">
        <f t="shared" si="129"/>
        <v>2677</v>
      </c>
      <c r="E298" s="215">
        <f t="shared" si="129"/>
        <v>975</v>
      </c>
      <c r="F298" s="435">
        <f t="shared" si="129"/>
        <v>36.421367202091893</v>
      </c>
      <c r="G298" s="450">
        <f t="shared" si="129"/>
        <v>7369.6050500000001</v>
      </c>
      <c r="H298" s="450">
        <f t="shared" si="129"/>
        <v>4913.07</v>
      </c>
      <c r="I298" s="450">
        <f t="shared" si="129"/>
        <v>2353.1381200000001</v>
      </c>
      <c r="J298" s="214">
        <f t="shared" si="129"/>
        <v>47.89547309523374</v>
      </c>
      <c r="K298" s="105"/>
    </row>
    <row r="299" spans="1:12" ht="27" customHeight="1" x14ac:dyDescent="0.25">
      <c r="A299" s="35">
        <v>1</v>
      </c>
      <c r="B299" s="211" t="s">
        <v>79</v>
      </c>
      <c r="C299" s="215">
        <f t="shared" si="129"/>
        <v>2788</v>
      </c>
      <c r="D299" s="215">
        <f t="shared" si="129"/>
        <v>1859</v>
      </c>
      <c r="E299" s="215">
        <f t="shared" si="129"/>
        <v>731</v>
      </c>
      <c r="F299" s="435">
        <f t="shared" si="129"/>
        <v>39.32221624529317</v>
      </c>
      <c r="G299" s="450">
        <f t="shared" si="129"/>
        <v>3965.808</v>
      </c>
      <c r="H299" s="450">
        <f t="shared" si="129"/>
        <v>2643.87</v>
      </c>
      <c r="I299" s="450">
        <f t="shared" si="129"/>
        <v>1025.2131900000002</v>
      </c>
      <c r="J299" s="214">
        <f t="shared" si="129"/>
        <v>38.776989413246497</v>
      </c>
      <c r="K299" s="105"/>
    </row>
    <row r="300" spans="1:12" ht="27" customHeight="1" x14ac:dyDescent="0.25">
      <c r="A300" s="35">
        <v>1</v>
      </c>
      <c r="B300" s="211" t="s">
        <v>80</v>
      </c>
      <c r="C300" s="215">
        <f t="shared" si="129"/>
        <v>837</v>
      </c>
      <c r="D300" s="215">
        <f t="shared" si="129"/>
        <v>558</v>
      </c>
      <c r="E300" s="215">
        <f t="shared" si="129"/>
        <v>1</v>
      </c>
      <c r="F300" s="435">
        <f t="shared" si="129"/>
        <v>0.17921146953405018</v>
      </c>
      <c r="G300" s="450">
        <f t="shared" si="129"/>
        <v>1271.12105</v>
      </c>
      <c r="H300" s="450">
        <f t="shared" si="129"/>
        <v>847.41</v>
      </c>
      <c r="I300" s="450">
        <f t="shared" si="129"/>
        <v>-0.8962699999999999</v>
      </c>
      <c r="J300" s="214">
        <f t="shared" si="129"/>
        <v>-0.10576580403818694</v>
      </c>
      <c r="K300" s="105"/>
    </row>
    <row r="301" spans="1:12" ht="27" customHeight="1" x14ac:dyDescent="0.25">
      <c r="A301" s="35">
        <v>1</v>
      </c>
      <c r="B301" s="211" t="s">
        <v>114</v>
      </c>
      <c r="C301" s="215">
        <f t="shared" si="129"/>
        <v>160</v>
      </c>
      <c r="D301" s="215">
        <f t="shared" si="129"/>
        <v>107</v>
      </c>
      <c r="E301" s="215">
        <f t="shared" si="129"/>
        <v>115</v>
      </c>
      <c r="F301" s="435">
        <f t="shared" si="129"/>
        <v>107.4766355140187</v>
      </c>
      <c r="G301" s="450">
        <f t="shared" si="129"/>
        <v>874.94399999999996</v>
      </c>
      <c r="H301" s="450">
        <f t="shared" si="129"/>
        <v>583.29999999999995</v>
      </c>
      <c r="I301" s="450">
        <f t="shared" si="129"/>
        <v>628.86599999999999</v>
      </c>
      <c r="J301" s="214">
        <f t="shared" si="129"/>
        <v>107.81176067203842</v>
      </c>
      <c r="K301" s="105"/>
    </row>
    <row r="302" spans="1:12" ht="27" customHeight="1" x14ac:dyDescent="0.25">
      <c r="A302" s="35">
        <v>1</v>
      </c>
      <c r="B302" s="211" t="s">
        <v>115</v>
      </c>
      <c r="C302" s="215">
        <f t="shared" si="129"/>
        <v>230</v>
      </c>
      <c r="D302" s="215">
        <f t="shared" si="129"/>
        <v>153</v>
      </c>
      <c r="E302" s="215">
        <f t="shared" si="129"/>
        <v>128</v>
      </c>
      <c r="F302" s="435">
        <f t="shared" si="129"/>
        <v>83.66013071895425</v>
      </c>
      <c r="G302" s="450">
        <f t="shared" si="129"/>
        <v>1257.732</v>
      </c>
      <c r="H302" s="450">
        <f t="shared" si="129"/>
        <v>838.49</v>
      </c>
      <c r="I302" s="450">
        <f t="shared" si="129"/>
        <v>699.95519999999999</v>
      </c>
      <c r="J302" s="214">
        <f t="shared" si="129"/>
        <v>83.478061753867067</v>
      </c>
      <c r="K302" s="105"/>
    </row>
    <row r="303" spans="1:12" ht="41.25" customHeight="1" x14ac:dyDescent="0.25">
      <c r="A303" s="35">
        <v>1</v>
      </c>
      <c r="B303" s="223" t="s">
        <v>112</v>
      </c>
      <c r="C303" s="215">
        <f t="shared" si="129"/>
        <v>5859</v>
      </c>
      <c r="D303" s="215">
        <f t="shared" si="129"/>
        <v>3906</v>
      </c>
      <c r="E303" s="215">
        <f t="shared" si="129"/>
        <v>3232</v>
      </c>
      <c r="F303" s="435">
        <f t="shared" si="129"/>
        <v>82.74449564772145</v>
      </c>
      <c r="G303" s="450">
        <f t="shared" si="129"/>
        <v>12236.931200000001</v>
      </c>
      <c r="H303" s="450">
        <f t="shared" si="129"/>
        <v>8157.9599999999991</v>
      </c>
      <c r="I303" s="450">
        <f t="shared" si="129"/>
        <v>7711.8541800000003</v>
      </c>
      <c r="J303" s="214">
        <f t="shared" si="129"/>
        <v>94.531649824220779</v>
      </c>
      <c r="K303" s="105"/>
    </row>
    <row r="304" spans="1:12" ht="30" x14ac:dyDescent="0.25">
      <c r="A304" s="35">
        <v>1</v>
      </c>
      <c r="B304" s="211" t="s">
        <v>108</v>
      </c>
      <c r="C304" s="215">
        <f t="shared" si="129"/>
        <v>1000</v>
      </c>
      <c r="D304" s="215">
        <f t="shared" si="129"/>
        <v>667</v>
      </c>
      <c r="E304" s="215">
        <f t="shared" si="129"/>
        <v>861</v>
      </c>
      <c r="F304" s="435">
        <f t="shared" si="129"/>
        <v>129.08545727136431</v>
      </c>
      <c r="G304" s="450">
        <f t="shared" si="129"/>
        <v>1767.1</v>
      </c>
      <c r="H304" s="450">
        <f t="shared" si="129"/>
        <v>1178.07</v>
      </c>
      <c r="I304" s="450">
        <f t="shared" si="129"/>
        <v>1538.9505800000002</v>
      </c>
      <c r="J304" s="215">
        <f t="shared" si="129"/>
        <v>130.63320345989629</v>
      </c>
      <c r="K304" s="105"/>
    </row>
    <row r="305" spans="1:12" ht="42.75" customHeight="1" x14ac:dyDescent="0.25">
      <c r="A305" s="35">
        <v>1</v>
      </c>
      <c r="B305" s="211" t="s">
        <v>81</v>
      </c>
      <c r="C305" s="215">
        <f t="shared" si="129"/>
        <v>4400</v>
      </c>
      <c r="D305" s="215">
        <f t="shared" si="129"/>
        <v>2933</v>
      </c>
      <c r="E305" s="215">
        <f t="shared" si="129"/>
        <v>2309</v>
      </c>
      <c r="F305" s="435">
        <f t="shared" si="129"/>
        <v>78.724855097170135</v>
      </c>
      <c r="G305" s="450">
        <f t="shared" si="129"/>
        <v>10094.92</v>
      </c>
      <c r="H305" s="450">
        <f t="shared" si="129"/>
        <v>6729.95</v>
      </c>
      <c r="I305" s="450">
        <f t="shared" si="129"/>
        <v>6125.6236399999998</v>
      </c>
      <c r="J305" s="214">
        <f t="shared" si="129"/>
        <v>91.020343984724988</v>
      </c>
      <c r="K305" s="105"/>
    </row>
    <row r="306" spans="1:12" ht="42.75" customHeight="1" x14ac:dyDescent="0.25">
      <c r="A306" s="35">
        <v>1</v>
      </c>
      <c r="B306" s="211" t="s">
        <v>109</v>
      </c>
      <c r="C306" s="215">
        <f t="shared" si="129"/>
        <v>459</v>
      </c>
      <c r="D306" s="215">
        <f t="shared" si="129"/>
        <v>306</v>
      </c>
      <c r="E306" s="215">
        <f t="shared" si="129"/>
        <v>62</v>
      </c>
      <c r="F306" s="435">
        <f t="shared" si="129"/>
        <v>20.261437908496731</v>
      </c>
      <c r="G306" s="450">
        <f t="shared" si="129"/>
        <v>374.91120000000001</v>
      </c>
      <c r="H306" s="450">
        <f t="shared" si="129"/>
        <v>249.94</v>
      </c>
      <c r="I306" s="450">
        <f t="shared" si="129"/>
        <v>47.279960000000003</v>
      </c>
      <c r="J306" s="450">
        <f t="shared" si="129"/>
        <v>18.916523965751779</v>
      </c>
      <c r="K306" s="105"/>
    </row>
    <row r="307" spans="1:12" ht="27" customHeight="1" x14ac:dyDescent="0.25">
      <c r="A307" s="35">
        <v>1</v>
      </c>
      <c r="B307" s="116" t="s">
        <v>123</v>
      </c>
      <c r="C307" s="409">
        <f t="shared" si="129"/>
        <v>12363</v>
      </c>
      <c r="D307" s="409">
        <f t="shared" si="129"/>
        <v>8242</v>
      </c>
      <c r="E307" s="409">
        <f t="shared" si="129"/>
        <v>4147</v>
      </c>
      <c r="F307" s="436">
        <f t="shared" si="129"/>
        <v>50.315457413249206</v>
      </c>
      <c r="G307" s="450">
        <f t="shared" si="129"/>
        <v>10026.64026</v>
      </c>
      <c r="H307" s="450">
        <f t="shared" si="129"/>
        <v>6684.43</v>
      </c>
      <c r="I307" s="450">
        <f t="shared" si="129"/>
        <v>3359.6661100000001</v>
      </c>
      <c r="J307" s="410">
        <f t="shared" si="129"/>
        <v>50.261071026250562</v>
      </c>
      <c r="K307" s="105"/>
    </row>
    <row r="308" spans="1:12" ht="27" customHeight="1" thickBot="1" x14ac:dyDescent="0.3">
      <c r="B308" s="667" t="s">
        <v>125</v>
      </c>
      <c r="C308" s="409">
        <f t="shared" si="129"/>
        <v>6500</v>
      </c>
      <c r="D308" s="409">
        <f t="shared" si="129"/>
        <v>4333</v>
      </c>
      <c r="E308" s="409">
        <f t="shared" si="129"/>
        <v>898</v>
      </c>
      <c r="F308" s="436">
        <f t="shared" si="129"/>
        <v>20.724671128548351</v>
      </c>
      <c r="G308" s="450">
        <f t="shared" si="129"/>
        <v>5271.63</v>
      </c>
      <c r="H308" s="450">
        <f t="shared" si="129"/>
        <v>3514.42</v>
      </c>
      <c r="I308" s="450">
        <f t="shared" si="129"/>
        <v>726.27323999999999</v>
      </c>
      <c r="J308" s="410">
        <f t="shared" si="129"/>
        <v>20.66552204915747</v>
      </c>
      <c r="K308" s="105"/>
    </row>
    <row r="309" spans="1:12" s="13" customFormat="1" ht="15" customHeight="1" thickBot="1" x14ac:dyDescent="0.3">
      <c r="A309" s="35">
        <v>1</v>
      </c>
      <c r="B309" s="411" t="s">
        <v>117</v>
      </c>
      <c r="C309" s="412">
        <f t="shared" ref="C309:J309" si="130">C296</f>
        <v>0</v>
      </c>
      <c r="D309" s="412">
        <f t="shared" si="130"/>
        <v>0</v>
      </c>
      <c r="E309" s="412">
        <f t="shared" si="130"/>
        <v>0</v>
      </c>
      <c r="F309" s="437">
        <f t="shared" si="130"/>
        <v>0</v>
      </c>
      <c r="G309" s="413">
        <f t="shared" si="130"/>
        <v>29633.176510000001</v>
      </c>
      <c r="H309" s="413">
        <f t="shared" si="130"/>
        <v>19755.46</v>
      </c>
      <c r="I309" s="413">
        <f t="shared" si="130"/>
        <v>13424.65841</v>
      </c>
      <c r="J309" s="412">
        <f t="shared" si="130"/>
        <v>67.954167657953803</v>
      </c>
      <c r="K309" s="105"/>
      <c r="L309" s="723"/>
    </row>
    <row r="310" spans="1:12" x14ac:dyDescent="0.25">
      <c r="A310" s="35">
        <v>1</v>
      </c>
      <c r="B310" s="213"/>
      <c r="C310" s="213"/>
      <c r="D310" s="213"/>
      <c r="E310" s="213"/>
      <c r="F310" s="213"/>
      <c r="G310" s="367"/>
      <c r="H310" s="367"/>
      <c r="I310" s="367"/>
      <c r="J310" s="213"/>
      <c r="K310" s="105"/>
    </row>
    <row r="311" spans="1:12" ht="29.25" customHeight="1" x14ac:dyDescent="0.25">
      <c r="A311" s="35">
        <v>1</v>
      </c>
      <c r="B311" s="313" t="s">
        <v>41</v>
      </c>
      <c r="C311" s="600"/>
      <c r="D311" s="600"/>
      <c r="E311" s="600"/>
      <c r="F311" s="600"/>
      <c r="G311" s="601"/>
      <c r="H311" s="601"/>
      <c r="I311" s="601"/>
      <c r="J311" s="600"/>
      <c r="K311" s="105"/>
    </row>
    <row r="312" spans="1:12" ht="36.75" customHeight="1" x14ac:dyDescent="0.25">
      <c r="A312" s="35">
        <v>1</v>
      </c>
      <c r="B312" s="198" t="s">
        <v>120</v>
      </c>
      <c r="C312" s="113">
        <f>SUM(C313:C316)</f>
        <v>8179</v>
      </c>
      <c r="D312" s="113">
        <f>SUM(D313:D316)</f>
        <v>5453</v>
      </c>
      <c r="E312" s="113">
        <f>SUM(E313:E316)</f>
        <v>5393</v>
      </c>
      <c r="F312" s="113">
        <f t="shared" ref="F312:F320" si="131">E312/D312*100</f>
        <v>98.89968824500275</v>
      </c>
      <c r="G312" s="596">
        <f>SUM(G313:G316)</f>
        <v>13287.568139999999</v>
      </c>
      <c r="H312" s="596">
        <f>SUM(H313:H316)</f>
        <v>8858.3799999999992</v>
      </c>
      <c r="I312" s="596">
        <f>SUM(I313:I316)</f>
        <v>7753.635940000001</v>
      </c>
      <c r="J312" s="113">
        <f t="shared" ref="J312:J324" si="132">I312/H312*100</f>
        <v>87.528825135069866</v>
      </c>
      <c r="K312" s="105"/>
    </row>
    <row r="313" spans="1:12" ht="38.25" customHeight="1" x14ac:dyDescent="0.25">
      <c r="A313" s="35">
        <v>1</v>
      </c>
      <c r="B313" s="72" t="s">
        <v>79</v>
      </c>
      <c r="C313" s="113">
        <v>6003</v>
      </c>
      <c r="D313" s="107">
        <f t="shared" ref="D313:D321" si="133">ROUND(C313/12*$B$3,0)</f>
        <v>4002</v>
      </c>
      <c r="E313" s="113">
        <v>4238</v>
      </c>
      <c r="F313" s="113">
        <f t="shared" si="131"/>
        <v>105.89705147426287</v>
      </c>
      <c r="G313" s="596">
        <v>8459.4328000000005</v>
      </c>
      <c r="H313" s="596">
        <f t="shared" ref="H313:H316" si="134">ROUND(G313/12*$B$3,2)</f>
        <v>5639.62</v>
      </c>
      <c r="I313" s="596">
        <v>4511.0233500000004</v>
      </c>
      <c r="J313" s="113">
        <f t="shared" si="132"/>
        <v>79.988072777953136</v>
      </c>
      <c r="K313" s="105"/>
    </row>
    <row r="314" spans="1:12" ht="32.25" customHeight="1" x14ac:dyDescent="0.25">
      <c r="A314" s="35">
        <v>1</v>
      </c>
      <c r="B314" s="72" t="s">
        <v>80</v>
      </c>
      <c r="C314" s="113">
        <v>1801</v>
      </c>
      <c r="D314" s="107">
        <f t="shared" si="133"/>
        <v>1201</v>
      </c>
      <c r="E314" s="113">
        <v>778</v>
      </c>
      <c r="F314" s="113">
        <f t="shared" si="131"/>
        <v>64.779350541215649</v>
      </c>
      <c r="G314" s="596">
        <v>2777.4853399999997</v>
      </c>
      <c r="H314" s="596">
        <f t="shared" si="134"/>
        <v>1851.66</v>
      </c>
      <c r="I314" s="596">
        <v>1186.4941899999999</v>
      </c>
      <c r="J314" s="113">
        <f t="shared" si="132"/>
        <v>64.077324670835893</v>
      </c>
      <c r="K314" s="105"/>
    </row>
    <row r="315" spans="1:12" ht="30" x14ac:dyDescent="0.25">
      <c r="A315" s="35">
        <v>1</v>
      </c>
      <c r="B315" s="72" t="s">
        <v>114</v>
      </c>
      <c r="C315" s="113">
        <v>94</v>
      </c>
      <c r="D315" s="107">
        <f t="shared" si="133"/>
        <v>63</v>
      </c>
      <c r="E315" s="113">
        <v>94</v>
      </c>
      <c r="F315" s="113">
        <f t="shared" si="131"/>
        <v>149.20634920634922</v>
      </c>
      <c r="G315" s="596">
        <v>514.02959999999996</v>
      </c>
      <c r="H315" s="596">
        <f t="shared" si="134"/>
        <v>342.69</v>
      </c>
      <c r="I315" s="596">
        <v>508.56119999999993</v>
      </c>
      <c r="J315" s="113">
        <f t="shared" si="132"/>
        <v>148.40269631445329</v>
      </c>
      <c r="K315" s="105"/>
    </row>
    <row r="316" spans="1:12" ht="30" x14ac:dyDescent="0.25">
      <c r="A316" s="35">
        <v>1</v>
      </c>
      <c r="B316" s="72" t="s">
        <v>115</v>
      </c>
      <c r="C316" s="113">
        <v>281</v>
      </c>
      <c r="D316" s="107">
        <f t="shared" si="133"/>
        <v>187</v>
      </c>
      <c r="E316" s="113">
        <v>283</v>
      </c>
      <c r="F316" s="113">
        <f t="shared" si="131"/>
        <v>151.33689839572193</v>
      </c>
      <c r="G316" s="596">
        <v>1536.6204</v>
      </c>
      <c r="H316" s="596">
        <f t="shared" si="134"/>
        <v>1024.4100000000001</v>
      </c>
      <c r="I316" s="596">
        <v>1547.5572</v>
      </c>
      <c r="J316" s="113">
        <f t="shared" si="132"/>
        <v>151.06814654288809</v>
      </c>
      <c r="K316" s="105"/>
    </row>
    <row r="317" spans="1:12" ht="30" x14ac:dyDescent="0.25">
      <c r="A317" s="35">
        <v>1</v>
      </c>
      <c r="B317" s="198" t="s">
        <v>112</v>
      </c>
      <c r="C317" s="113">
        <f>SUM(C318:C320)</f>
        <v>14763</v>
      </c>
      <c r="D317" s="113">
        <f>SUM(D318:D320)</f>
        <v>9842</v>
      </c>
      <c r="E317" s="113">
        <f>SUM(E318:E320)</f>
        <v>9703</v>
      </c>
      <c r="F317" s="113">
        <f t="shared" si="131"/>
        <v>98.587685429790696</v>
      </c>
      <c r="G317" s="596">
        <f>SUM(G318:G320)</f>
        <v>29050.4709</v>
      </c>
      <c r="H317" s="596">
        <f>SUM(H318:H320)</f>
        <v>19366.98</v>
      </c>
      <c r="I317" s="596">
        <f>SUM(I318:I320)</f>
        <v>17562.308520000002</v>
      </c>
      <c r="J317" s="113">
        <f t="shared" si="132"/>
        <v>90.681709383703605</v>
      </c>
      <c r="K317" s="105"/>
    </row>
    <row r="318" spans="1:12" ht="30" x14ac:dyDescent="0.25">
      <c r="A318" s="35">
        <v>1</v>
      </c>
      <c r="B318" s="72" t="s">
        <v>108</v>
      </c>
      <c r="C318" s="113">
        <v>3000</v>
      </c>
      <c r="D318" s="107">
        <f t="shared" si="133"/>
        <v>2000</v>
      </c>
      <c r="E318" s="113">
        <v>1403</v>
      </c>
      <c r="F318" s="113">
        <f t="shared" si="131"/>
        <v>70.150000000000006</v>
      </c>
      <c r="G318" s="596">
        <f>5301300/1000</f>
        <v>5301.3</v>
      </c>
      <c r="H318" s="596">
        <f t="shared" ref="H318:H323" si="135">ROUND(G318/12*$B$3,2)</f>
        <v>3534.2</v>
      </c>
      <c r="I318" s="596">
        <v>2464.6467100000004</v>
      </c>
      <c r="J318" s="113">
        <f t="shared" si="132"/>
        <v>69.737046856431462</v>
      </c>
      <c r="K318" s="105"/>
    </row>
    <row r="319" spans="1:12" ht="65.25" customHeight="1" x14ac:dyDescent="0.25">
      <c r="A319" s="35">
        <v>1</v>
      </c>
      <c r="B319" s="71" t="s">
        <v>118</v>
      </c>
      <c r="C319" s="113">
        <v>9571</v>
      </c>
      <c r="D319" s="107">
        <f t="shared" si="133"/>
        <v>6381</v>
      </c>
      <c r="E319" s="113">
        <v>5523</v>
      </c>
      <c r="F319" s="113">
        <f t="shared" si="131"/>
        <v>86.553831687823219</v>
      </c>
      <c r="G319" s="596">
        <f>21958745.3/1000</f>
        <v>21958.745300000002</v>
      </c>
      <c r="H319" s="596">
        <f t="shared" si="135"/>
        <v>14639.16</v>
      </c>
      <c r="I319" s="596">
        <v>12610.224870000002</v>
      </c>
      <c r="J319" s="113">
        <f t="shared" si="132"/>
        <v>86.140358258260733</v>
      </c>
      <c r="K319" s="105"/>
    </row>
    <row r="320" spans="1:12" ht="45" x14ac:dyDescent="0.25">
      <c r="A320" s="35">
        <v>1</v>
      </c>
      <c r="B320" s="72" t="s">
        <v>109</v>
      </c>
      <c r="C320" s="113">
        <v>2192</v>
      </c>
      <c r="D320" s="107">
        <f t="shared" si="133"/>
        <v>1461</v>
      </c>
      <c r="E320" s="113">
        <v>2777</v>
      </c>
      <c r="F320" s="113">
        <f t="shared" si="131"/>
        <v>190.07529089664615</v>
      </c>
      <c r="G320" s="596">
        <f>1790425.6/1000</f>
        <v>1790.4256</v>
      </c>
      <c r="H320" s="596">
        <f t="shared" si="135"/>
        <v>1193.6199999999999</v>
      </c>
      <c r="I320" s="596">
        <v>2487.4369400000005</v>
      </c>
      <c r="J320" s="113">
        <f t="shared" si="132"/>
        <v>208.39437509425119</v>
      </c>
      <c r="K320" s="105"/>
    </row>
    <row r="321" spans="1:12" s="106" customFormat="1" ht="30" x14ac:dyDescent="0.25">
      <c r="A321" s="106">
        <v>1</v>
      </c>
      <c r="B321" s="116" t="s">
        <v>123</v>
      </c>
      <c r="C321" s="113">
        <v>34312</v>
      </c>
      <c r="D321" s="107">
        <f t="shared" si="133"/>
        <v>22875</v>
      </c>
      <c r="E321" s="113">
        <f>20910+E322+E323</f>
        <v>22065</v>
      </c>
      <c r="F321" s="113">
        <f>E321/D321*100</f>
        <v>96.459016393442624</v>
      </c>
      <c r="G321" s="596">
        <v>27827.718000000001</v>
      </c>
      <c r="H321" s="596">
        <f t="shared" si="135"/>
        <v>18551.810000000001</v>
      </c>
      <c r="I321" s="596">
        <f>16856.65814+I322+I323</f>
        <v>17779.554669999998</v>
      </c>
      <c r="J321" s="113">
        <f>I321/H321*100</f>
        <v>95.837304661917074</v>
      </c>
      <c r="K321" s="105"/>
      <c r="L321" s="723"/>
    </row>
    <row r="322" spans="1:12" s="106" customFormat="1" ht="30" x14ac:dyDescent="0.25">
      <c r="A322" s="106">
        <v>1</v>
      </c>
      <c r="B322" s="116" t="s">
        <v>124</v>
      </c>
      <c r="C322" s="113">
        <v>670</v>
      </c>
      <c r="D322" s="107">
        <f>ROUND(C322/12*$B$3,0)</f>
        <v>447</v>
      </c>
      <c r="E322" s="113">
        <v>597</v>
      </c>
      <c r="F322" s="113">
        <f>E322/D322*100</f>
        <v>133.55704697986576</v>
      </c>
      <c r="G322" s="596">
        <v>543.38339999999994</v>
      </c>
      <c r="H322" s="596">
        <f t="shared" si="135"/>
        <v>362.26</v>
      </c>
      <c r="I322" s="596">
        <v>478.10112000000004</v>
      </c>
      <c r="J322" s="113">
        <f t="shared" ref="J322:J323" si="136">I322/H322*100</f>
        <v>131.97734224037984</v>
      </c>
      <c r="K322" s="105"/>
      <c r="L322" s="723"/>
    </row>
    <row r="323" spans="1:12" s="106" customFormat="1" ht="15.75" thickBot="1" x14ac:dyDescent="0.3">
      <c r="A323" s="106">
        <v>1</v>
      </c>
      <c r="B323" s="116" t="s">
        <v>125</v>
      </c>
      <c r="C323" s="113">
        <v>400</v>
      </c>
      <c r="D323" s="107">
        <f>ROUND(C323/12*$B$3,0)</f>
        <v>267</v>
      </c>
      <c r="E323" s="113">
        <v>558</v>
      </c>
      <c r="F323" s="113">
        <f>E323/D323*100</f>
        <v>208.98876404494385</v>
      </c>
      <c r="G323" s="596">
        <v>324.40799999999996</v>
      </c>
      <c r="H323" s="596">
        <f t="shared" si="135"/>
        <v>216.27</v>
      </c>
      <c r="I323" s="596">
        <v>444.79540999999995</v>
      </c>
      <c r="J323" s="113">
        <f t="shared" si="136"/>
        <v>205.66671752901465</v>
      </c>
      <c r="K323" s="105"/>
      <c r="L323" s="723"/>
    </row>
    <row r="324" spans="1:12" s="13" customFormat="1" ht="18.75" customHeight="1" thickBot="1" x14ac:dyDescent="0.3">
      <c r="A324" s="35">
        <v>1</v>
      </c>
      <c r="B324" s="111" t="s">
        <v>3</v>
      </c>
      <c r="C324" s="339"/>
      <c r="D324" s="339"/>
      <c r="E324" s="339"/>
      <c r="F324" s="338"/>
      <c r="G324" s="387">
        <f>G317+G312+G321</f>
        <v>70165.757039999997</v>
      </c>
      <c r="H324" s="387">
        <f>H317+H312+H321</f>
        <v>46777.17</v>
      </c>
      <c r="I324" s="387">
        <f>I317+I312+I321</f>
        <v>43095.499129999997</v>
      </c>
      <c r="J324" s="339">
        <f t="shared" si="132"/>
        <v>92.129342433499076</v>
      </c>
      <c r="K324" s="105"/>
      <c r="L324" s="723"/>
    </row>
    <row r="325" spans="1:12" ht="15" customHeight="1" x14ac:dyDescent="0.25">
      <c r="A325" s="35">
        <v>1</v>
      </c>
      <c r="B325" s="219" t="s">
        <v>40</v>
      </c>
      <c r="C325" s="290"/>
      <c r="D325" s="290"/>
      <c r="E325" s="290"/>
      <c r="F325" s="438"/>
      <c r="G325" s="368"/>
      <c r="H325" s="368"/>
      <c r="I325" s="368"/>
      <c r="J325" s="290"/>
      <c r="K325" s="105"/>
    </row>
    <row r="326" spans="1:12" ht="41.25" customHeight="1" x14ac:dyDescent="0.25">
      <c r="A326" s="35">
        <v>1</v>
      </c>
      <c r="B326" s="224" t="s">
        <v>120</v>
      </c>
      <c r="C326" s="220">
        <f t="shared" ref="C326:J337" si="137">C312</f>
        <v>8179</v>
      </c>
      <c r="D326" s="220">
        <f t="shared" si="137"/>
        <v>5453</v>
      </c>
      <c r="E326" s="220">
        <f t="shared" si="137"/>
        <v>5393</v>
      </c>
      <c r="F326" s="439">
        <f t="shared" si="137"/>
        <v>98.89968824500275</v>
      </c>
      <c r="G326" s="449">
        <f t="shared" si="137"/>
        <v>13287.568139999999</v>
      </c>
      <c r="H326" s="449">
        <f t="shared" si="137"/>
        <v>8858.3799999999992</v>
      </c>
      <c r="I326" s="449">
        <f t="shared" si="137"/>
        <v>7753.635940000001</v>
      </c>
      <c r="J326" s="218">
        <f t="shared" si="137"/>
        <v>87.528825135069866</v>
      </c>
      <c r="K326" s="105"/>
    </row>
    <row r="327" spans="1:12" ht="33.75" customHeight="1" x14ac:dyDescent="0.25">
      <c r="A327" s="35">
        <v>1</v>
      </c>
      <c r="B327" s="217" t="s">
        <v>79</v>
      </c>
      <c r="C327" s="220">
        <f t="shared" si="137"/>
        <v>6003</v>
      </c>
      <c r="D327" s="220">
        <f t="shared" si="137"/>
        <v>4002</v>
      </c>
      <c r="E327" s="220">
        <f t="shared" si="137"/>
        <v>4238</v>
      </c>
      <c r="F327" s="439">
        <f t="shared" si="137"/>
        <v>105.89705147426287</v>
      </c>
      <c r="G327" s="449">
        <f t="shared" si="137"/>
        <v>8459.4328000000005</v>
      </c>
      <c r="H327" s="449">
        <f t="shared" si="137"/>
        <v>5639.62</v>
      </c>
      <c r="I327" s="449">
        <f t="shared" si="137"/>
        <v>4511.0233500000004</v>
      </c>
      <c r="J327" s="218">
        <f t="shared" si="137"/>
        <v>79.988072777953136</v>
      </c>
      <c r="K327" s="105"/>
    </row>
    <row r="328" spans="1:12" ht="33.75" customHeight="1" x14ac:dyDescent="0.25">
      <c r="A328" s="35">
        <v>1</v>
      </c>
      <c r="B328" s="217" t="s">
        <v>80</v>
      </c>
      <c r="C328" s="220">
        <f t="shared" si="137"/>
        <v>1801</v>
      </c>
      <c r="D328" s="220">
        <f t="shared" si="137"/>
        <v>1201</v>
      </c>
      <c r="E328" s="220">
        <f t="shared" si="137"/>
        <v>778</v>
      </c>
      <c r="F328" s="439">
        <f t="shared" si="137"/>
        <v>64.779350541215649</v>
      </c>
      <c r="G328" s="449">
        <f t="shared" si="137"/>
        <v>2777.4853399999997</v>
      </c>
      <c r="H328" s="449">
        <f t="shared" si="137"/>
        <v>1851.66</v>
      </c>
      <c r="I328" s="449">
        <f t="shared" si="137"/>
        <v>1186.4941899999999</v>
      </c>
      <c r="J328" s="218">
        <f t="shared" si="137"/>
        <v>64.077324670835893</v>
      </c>
      <c r="K328" s="105"/>
    </row>
    <row r="329" spans="1:12" ht="47.25" customHeight="1" x14ac:dyDescent="0.25">
      <c r="A329" s="35">
        <v>1</v>
      </c>
      <c r="B329" s="217" t="s">
        <v>114</v>
      </c>
      <c r="C329" s="220">
        <f t="shared" si="137"/>
        <v>94</v>
      </c>
      <c r="D329" s="220">
        <f t="shared" si="137"/>
        <v>63</v>
      </c>
      <c r="E329" s="220">
        <f t="shared" si="137"/>
        <v>94</v>
      </c>
      <c r="F329" s="439">
        <f t="shared" si="137"/>
        <v>149.20634920634922</v>
      </c>
      <c r="G329" s="449">
        <f t="shared" si="137"/>
        <v>514.02959999999996</v>
      </c>
      <c r="H329" s="449">
        <f t="shared" si="137"/>
        <v>342.69</v>
      </c>
      <c r="I329" s="449">
        <f t="shared" si="137"/>
        <v>508.56119999999993</v>
      </c>
      <c r="J329" s="218">
        <f t="shared" si="137"/>
        <v>148.40269631445329</v>
      </c>
      <c r="K329" s="105"/>
    </row>
    <row r="330" spans="1:12" ht="33.75" customHeight="1" x14ac:dyDescent="0.25">
      <c r="A330" s="35">
        <v>1</v>
      </c>
      <c r="B330" s="217" t="s">
        <v>115</v>
      </c>
      <c r="C330" s="220">
        <f t="shared" si="137"/>
        <v>281</v>
      </c>
      <c r="D330" s="220">
        <f t="shared" si="137"/>
        <v>187</v>
      </c>
      <c r="E330" s="220">
        <f t="shared" si="137"/>
        <v>283</v>
      </c>
      <c r="F330" s="439">
        <f t="shared" si="137"/>
        <v>151.33689839572193</v>
      </c>
      <c r="G330" s="449">
        <f t="shared" si="137"/>
        <v>1536.6204</v>
      </c>
      <c r="H330" s="449">
        <f t="shared" si="137"/>
        <v>1024.4100000000001</v>
      </c>
      <c r="I330" s="449">
        <f t="shared" si="137"/>
        <v>1547.5572</v>
      </c>
      <c r="J330" s="218">
        <f t="shared" si="137"/>
        <v>151.06814654288809</v>
      </c>
      <c r="K330" s="105"/>
    </row>
    <row r="331" spans="1:12" ht="28.5" customHeight="1" x14ac:dyDescent="0.25">
      <c r="A331" s="35">
        <v>1</v>
      </c>
      <c r="B331" s="224" t="s">
        <v>112</v>
      </c>
      <c r="C331" s="220">
        <f t="shared" si="137"/>
        <v>14763</v>
      </c>
      <c r="D331" s="220">
        <f t="shared" si="137"/>
        <v>9842</v>
      </c>
      <c r="E331" s="220">
        <f t="shared" si="137"/>
        <v>9703</v>
      </c>
      <c r="F331" s="439">
        <f t="shared" si="137"/>
        <v>98.587685429790696</v>
      </c>
      <c r="G331" s="449">
        <f t="shared" si="137"/>
        <v>29050.4709</v>
      </c>
      <c r="H331" s="449">
        <f t="shared" si="137"/>
        <v>19366.98</v>
      </c>
      <c r="I331" s="449">
        <f t="shared" si="137"/>
        <v>17562.308520000002</v>
      </c>
      <c r="J331" s="218">
        <f t="shared" si="137"/>
        <v>90.681709383703605</v>
      </c>
      <c r="K331" s="105"/>
    </row>
    <row r="332" spans="1:12" ht="30" x14ac:dyDescent="0.25">
      <c r="A332" s="35">
        <v>1</v>
      </c>
      <c r="B332" s="217" t="s">
        <v>108</v>
      </c>
      <c r="C332" s="220">
        <f t="shared" si="137"/>
        <v>3000</v>
      </c>
      <c r="D332" s="220">
        <f t="shared" si="137"/>
        <v>2000</v>
      </c>
      <c r="E332" s="220">
        <f t="shared" si="137"/>
        <v>1403</v>
      </c>
      <c r="F332" s="439">
        <f t="shared" si="137"/>
        <v>70.150000000000006</v>
      </c>
      <c r="G332" s="449">
        <f t="shared" si="137"/>
        <v>5301.3</v>
      </c>
      <c r="H332" s="449">
        <f t="shared" si="137"/>
        <v>3534.2</v>
      </c>
      <c r="I332" s="449">
        <f t="shared" si="137"/>
        <v>2464.6467100000004</v>
      </c>
      <c r="J332" s="220">
        <f t="shared" si="137"/>
        <v>69.737046856431462</v>
      </c>
      <c r="K332" s="105"/>
    </row>
    <row r="333" spans="1:12" ht="42" customHeight="1" x14ac:dyDescent="0.25">
      <c r="A333" s="35">
        <v>1</v>
      </c>
      <c r="B333" s="217" t="s">
        <v>81</v>
      </c>
      <c r="C333" s="220">
        <f t="shared" si="137"/>
        <v>9571</v>
      </c>
      <c r="D333" s="220">
        <f t="shared" si="137"/>
        <v>6381</v>
      </c>
      <c r="E333" s="220">
        <f t="shared" si="137"/>
        <v>5523</v>
      </c>
      <c r="F333" s="439">
        <f t="shared" si="137"/>
        <v>86.553831687823219</v>
      </c>
      <c r="G333" s="449">
        <f t="shared" si="137"/>
        <v>21958.745300000002</v>
      </c>
      <c r="H333" s="449">
        <f t="shared" si="137"/>
        <v>14639.16</v>
      </c>
      <c r="I333" s="449">
        <f t="shared" si="137"/>
        <v>12610.224870000002</v>
      </c>
      <c r="J333" s="218">
        <f t="shared" si="137"/>
        <v>86.140358258260733</v>
      </c>
      <c r="K333" s="105"/>
    </row>
    <row r="334" spans="1:12" ht="42" customHeight="1" x14ac:dyDescent="0.25">
      <c r="A334" s="35">
        <v>1</v>
      </c>
      <c r="B334" s="217" t="s">
        <v>109</v>
      </c>
      <c r="C334" s="220">
        <f t="shared" si="137"/>
        <v>2192</v>
      </c>
      <c r="D334" s="220">
        <f t="shared" si="137"/>
        <v>1461</v>
      </c>
      <c r="E334" s="220">
        <f t="shared" si="137"/>
        <v>2777</v>
      </c>
      <c r="F334" s="439">
        <f t="shared" si="137"/>
        <v>190.07529089664615</v>
      </c>
      <c r="G334" s="449">
        <f t="shared" si="137"/>
        <v>1790.4256</v>
      </c>
      <c r="H334" s="449">
        <f t="shared" si="137"/>
        <v>1193.6199999999999</v>
      </c>
      <c r="I334" s="449">
        <f t="shared" si="137"/>
        <v>2487.4369400000005</v>
      </c>
      <c r="J334" s="220">
        <f t="shared" si="137"/>
        <v>208.39437509425119</v>
      </c>
      <c r="K334" s="105"/>
    </row>
    <row r="335" spans="1:12" s="106" customFormat="1" ht="30" x14ac:dyDescent="0.25">
      <c r="A335" s="106">
        <v>1</v>
      </c>
      <c r="B335" s="217" t="s">
        <v>123</v>
      </c>
      <c r="C335" s="220">
        <f t="shared" si="137"/>
        <v>34312</v>
      </c>
      <c r="D335" s="220">
        <f t="shared" si="137"/>
        <v>22875</v>
      </c>
      <c r="E335" s="220">
        <f t="shared" si="137"/>
        <v>22065</v>
      </c>
      <c r="F335" s="220">
        <f t="shared" si="137"/>
        <v>96.459016393442624</v>
      </c>
      <c r="G335" s="220">
        <f t="shared" si="137"/>
        <v>27827.718000000001</v>
      </c>
      <c r="H335" s="220">
        <f t="shared" si="137"/>
        <v>18551.810000000001</v>
      </c>
      <c r="I335" s="220">
        <f t="shared" si="137"/>
        <v>17779.554669999998</v>
      </c>
      <c r="J335" s="220">
        <f t="shared" si="137"/>
        <v>95.837304661917074</v>
      </c>
      <c r="K335" s="105"/>
      <c r="L335" s="723"/>
    </row>
    <row r="336" spans="1:12" s="106" customFormat="1" ht="30" x14ac:dyDescent="0.25">
      <c r="A336" s="106">
        <v>1</v>
      </c>
      <c r="B336" s="217" t="s">
        <v>124</v>
      </c>
      <c r="C336" s="220">
        <f t="shared" si="137"/>
        <v>670</v>
      </c>
      <c r="D336" s="220">
        <f t="shared" si="137"/>
        <v>447</v>
      </c>
      <c r="E336" s="220">
        <f t="shared" si="137"/>
        <v>597</v>
      </c>
      <c r="F336" s="220">
        <f t="shared" si="137"/>
        <v>133.55704697986576</v>
      </c>
      <c r="G336" s="220">
        <f t="shared" si="137"/>
        <v>543.38339999999994</v>
      </c>
      <c r="H336" s="220">
        <f t="shared" si="137"/>
        <v>362.26</v>
      </c>
      <c r="I336" s="220">
        <f t="shared" si="137"/>
        <v>478.10112000000004</v>
      </c>
      <c r="J336" s="220">
        <f t="shared" si="137"/>
        <v>131.97734224037984</v>
      </c>
      <c r="K336" s="105"/>
      <c r="L336" s="723"/>
    </row>
    <row r="337" spans="1:12" s="106" customFormat="1" ht="15.75" thickBot="1" x14ac:dyDescent="0.3">
      <c r="A337" s="106">
        <v>1</v>
      </c>
      <c r="B337" s="217" t="s">
        <v>125</v>
      </c>
      <c r="C337" s="220">
        <f t="shared" si="137"/>
        <v>400</v>
      </c>
      <c r="D337" s="220">
        <f t="shared" si="137"/>
        <v>267</v>
      </c>
      <c r="E337" s="220">
        <f t="shared" si="137"/>
        <v>558</v>
      </c>
      <c r="F337" s="220">
        <f t="shared" si="137"/>
        <v>208.98876404494385</v>
      </c>
      <c r="G337" s="220">
        <f t="shared" si="137"/>
        <v>324.40799999999996</v>
      </c>
      <c r="H337" s="220">
        <f t="shared" si="137"/>
        <v>216.27</v>
      </c>
      <c r="I337" s="220">
        <f t="shared" si="137"/>
        <v>444.79540999999995</v>
      </c>
      <c r="J337" s="220">
        <f t="shared" si="137"/>
        <v>205.66671752901465</v>
      </c>
      <c r="K337" s="105"/>
      <c r="L337" s="723"/>
    </row>
    <row r="338" spans="1:12" s="13" customFormat="1" ht="15" customHeight="1" thickBot="1" x14ac:dyDescent="0.3">
      <c r="A338" s="35">
        <v>1</v>
      </c>
      <c r="B338" s="414" t="s">
        <v>117</v>
      </c>
      <c r="C338" s="415"/>
      <c r="D338" s="415"/>
      <c r="E338" s="415"/>
      <c r="F338" s="416"/>
      <c r="G338" s="417">
        <f>G331+G326+G335</f>
        <v>70165.757039999997</v>
      </c>
      <c r="H338" s="417">
        <f t="shared" ref="H338:I338" si="138">H331+H326+H335</f>
        <v>46777.17</v>
      </c>
      <c r="I338" s="417">
        <f t="shared" si="138"/>
        <v>43095.499129999997</v>
      </c>
      <c r="J338" s="418">
        <f>J324</f>
        <v>92.129342433499076</v>
      </c>
      <c r="K338" s="105"/>
      <c r="L338" s="723"/>
    </row>
    <row r="339" spans="1:12" ht="37.5" customHeight="1" x14ac:dyDescent="0.25">
      <c r="A339" s="35">
        <v>1</v>
      </c>
      <c r="B339" s="216" t="s">
        <v>49</v>
      </c>
      <c r="C339" s="147"/>
      <c r="D339" s="147"/>
      <c r="E339" s="147"/>
      <c r="F339" s="147"/>
      <c r="G339" s="366"/>
      <c r="H339" s="366"/>
      <c r="I339" s="353"/>
      <c r="J339" s="653"/>
      <c r="K339" s="105"/>
    </row>
    <row r="340" spans="1:12" ht="30.75" customHeight="1" x14ac:dyDescent="0.25">
      <c r="A340" s="35">
        <v>1</v>
      </c>
      <c r="B340" s="198" t="s">
        <v>120</v>
      </c>
      <c r="C340" s="113">
        <f>SUM(C341:C344)</f>
        <v>3368</v>
      </c>
      <c r="D340" s="113">
        <f>SUM(D341:D344)</f>
        <v>2245</v>
      </c>
      <c r="E340" s="113">
        <f>SUM(E341:E344)</f>
        <v>1887</v>
      </c>
      <c r="F340" s="113">
        <f t="shared" ref="F340:F349" si="139">E340/D340*100</f>
        <v>84.053452115812917</v>
      </c>
      <c r="G340" s="596">
        <f>SUM(G341:G344)</f>
        <v>5553.6662100000003</v>
      </c>
      <c r="H340" s="596">
        <f>SUM(H341:H344)</f>
        <v>3702.45</v>
      </c>
      <c r="I340" s="596">
        <f>SUM(I341:I344)</f>
        <v>3086.3418600000005</v>
      </c>
      <c r="J340" s="113">
        <f t="shared" ref="J340:J349" si="140">I340/H340*100</f>
        <v>83.359447392942528</v>
      </c>
      <c r="K340" s="105"/>
    </row>
    <row r="341" spans="1:12" ht="28.5" customHeight="1" x14ac:dyDescent="0.25">
      <c r="A341" s="35">
        <v>1</v>
      </c>
      <c r="B341" s="72" t="s">
        <v>79</v>
      </c>
      <c r="C341" s="113">
        <v>2428</v>
      </c>
      <c r="D341" s="107">
        <f t="shared" ref="D341:D349" si="141">ROUND(C341/12*$B$3,0)</f>
        <v>1619</v>
      </c>
      <c r="E341" s="113">
        <v>1426</v>
      </c>
      <c r="F341" s="113">
        <f t="shared" si="139"/>
        <v>88.079061148857321</v>
      </c>
      <c r="G341" s="596">
        <v>3299.7075999999997</v>
      </c>
      <c r="H341" s="596">
        <f t="shared" ref="H341:H344" si="142">ROUND(G341/12*$B$3,2)</f>
        <v>2199.81</v>
      </c>
      <c r="I341" s="596">
        <v>1799.7753900000002</v>
      </c>
      <c r="J341" s="113">
        <f t="shared" si="140"/>
        <v>81.815038116928292</v>
      </c>
      <c r="K341" s="105"/>
    </row>
    <row r="342" spans="1:12" ht="26.25" customHeight="1" x14ac:dyDescent="0.25">
      <c r="A342" s="35">
        <v>1</v>
      </c>
      <c r="B342" s="72" t="s">
        <v>80</v>
      </c>
      <c r="C342" s="113">
        <v>728</v>
      </c>
      <c r="D342" s="107">
        <f t="shared" si="141"/>
        <v>485</v>
      </c>
      <c r="E342" s="113">
        <v>264</v>
      </c>
      <c r="F342" s="113">
        <f t="shared" si="139"/>
        <v>54.432989690721648</v>
      </c>
      <c r="G342" s="596">
        <v>1094.6578100000002</v>
      </c>
      <c r="H342" s="596">
        <f t="shared" si="142"/>
        <v>729.77</v>
      </c>
      <c r="I342" s="596">
        <v>209.29167000000015</v>
      </c>
      <c r="J342" s="113">
        <f t="shared" si="140"/>
        <v>28.679127670361915</v>
      </c>
      <c r="K342" s="105"/>
    </row>
    <row r="343" spans="1:12" ht="30" x14ac:dyDescent="0.25">
      <c r="A343" s="35">
        <v>1</v>
      </c>
      <c r="B343" s="72" t="s">
        <v>114</v>
      </c>
      <c r="C343" s="113">
        <v>36</v>
      </c>
      <c r="D343" s="107">
        <f t="shared" si="141"/>
        <v>24</v>
      </c>
      <c r="E343" s="113">
        <v>41</v>
      </c>
      <c r="F343" s="113">
        <f t="shared" si="139"/>
        <v>170.83333333333331</v>
      </c>
      <c r="G343" s="596">
        <v>196.86240000000001</v>
      </c>
      <c r="H343" s="596">
        <f t="shared" si="142"/>
        <v>131.24</v>
      </c>
      <c r="I343" s="596">
        <v>224.20439999999996</v>
      </c>
      <c r="J343" s="113">
        <f t="shared" si="140"/>
        <v>170.8354160316976</v>
      </c>
      <c r="K343" s="105"/>
    </row>
    <row r="344" spans="1:12" ht="30" x14ac:dyDescent="0.25">
      <c r="A344" s="35">
        <v>1</v>
      </c>
      <c r="B344" s="72" t="s">
        <v>115</v>
      </c>
      <c r="C344" s="113">
        <v>176</v>
      </c>
      <c r="D344" s="107">
        <f t="shared" si="141"/>
        <v>117</v>
      </c>
      <c r="E344" s="113">
        <v>156</v>
      </c>
      <c r="F344" s="113">
        <f t="shared" si="139"/>
        <v>133.33333333333331</v>
      </c>
      <c r="G344" s="596">
        <v>962.43839999999989</v>
      </c>
      <c r="H344" s="596">
        <f t="shared" si="142"/>
        <v>641.63</v>
      </c>
      <c r="I344" s="596">
        <v>853.07040000000006</v>
      </c>
      <c r="J344" s="113">
        <f t="shared" si="140"/>
        <v>132.95363371413433</v>
      </c>
      <c r="K344" s="105"/>
    </row>
    <row r="345" spans="1:12" ht="30" x14ac:dyDescent="0.25">
      <c r="A345" s="35">
        <v>1</v>
      </c>
      <c r="B345" s="198" t="s">
        <v>112</v>
      </c>
      <c r="C345" s="113">
        <f>SUM(C346:C348)</f>
        <v>5552</v>
      </c>
      <c r="D345" s="113">
        <f>SUM(D346:D348)</f>
        <v>3701</v>
      </c>
      <c r="E345" s="113">
        <f>SUM(E346:E348)</f>
        <v>3005</v>
      </c>
      <c r="F345" s="113">
        <f t="shared" si="139"/>
        <v>81.194271818427453</v>
      </c>
      <c r="G345" s="596">
        <f>SUM(G346:G348)</f>
        <v>10392.8236</v>
      </c>
      <c r="H345" s="596">
        <f>SUM(H346:H348)</f>
        <v>6928.5500000000011</v>
      </c>
      <c r="I345" s="596">
        <f>SUM(I346:I348)</f>
        <v>5571.9665500000001</v>
      </c>
      <c r="J345" s="113">
        <f t="shared" si="140"/>
        <v>80.420384496034515</v>
      </c>
      <c r="K345" s="105"/>
    </row>
    <row r="346" spans="1:12" ht="30" x14ac:dyDescent="0.25">
      <c r="A346" s="35">
        <v>1</v>
      </c>
      <c r="B346" s="72" t="s">
        <v>108</v>
      </c>
      <c r="C346" s="113">
        <v>1500</v>
      </c>
      <c r="D346" s="107">
        <f t="shared" si="141"/>
        <v>1000</v>
      </c>
      <c r="E346" s="113">
        <v>669</v>
      </c>
      <c r="F346" s="113">
        <f t="shared" si="139"/>
        <v>66.900000000000006</v>
      </c>
      <c r="G346" s="596">
        <f>2650650/1000</f>
        <v>2650.65</v>
      </c>
      <c r="H346" s="596">
        <f t="shared" ref="H346:H349" si="143">ROUND(G346/12*$B$3,2)</f>
        <v>1767.1</v>
      </c>
      <c r="I346" s="596">
        <v>1184.1721800000003</v>
      </c>
      <c r="J346" s="113">
        <f t="shared" si="140"/>
        <v>67.012177013185465</v>
      </c>
      <c r="K346" s="105"/>
    </row>
    <row r="347" spans="1:12" ht="64.5" customHeight="1" x14ac:dyDescent="0.25">
      <c r="A347" s="35">
        <v>1</v>
      </c>
      <c r="B347" s="71" t="s">
        <v>118</v>
      </c>
      <c r="C347" s="113">
        <v>3000</v>
      </c>
      <c r="D347" s="107">
        <f t="shared" si="141"/>
        <v>2000</v>
      </c>
      <c r="E347" s="113">
        <v>1588</v>
      </c>
      <c r="F347" s="113">
        <f t="shared" si="139"/>
        <v>79.400000000000006</v>
      </c>
      <c r="G347" s="596">
        <f>6882900/1000</f>
        <v>6882.9</v>
      </c>
      <c r="H347" s="596">
        <f t="shared" si="143"/>
        <v>4588.6000000000004</v>
      </c>
      <c r="I347" s="596">
        <v>3775.99224</v>
      </c>
      <c r="J347" s="113">
        <f t="shared" si="140"/>
        <v>82.290725711546003</v>
      </c>
      <c r="K347" s="105"/>
    </row>
    <row r="348" spans="1:12" ht="30" customHeight="1" x14ac:dyDescent="0.25">
      <c r="A348" s="35">
        <v>1</v>
      </c>
      <c r="B348" s="72" t="s">
        <v>109</v>
      </c>
      <c r="C348" s="113">
        <v>1052</v>
      </c>
      <c r="D348" s="107">
        <f t="shared" si="141"/>
        <v>701</v>
      </c>
      <c r="E348" s="113">
        <v>748</v>
      </c>
      <c r="F348" s="113">
        <f t="shared" si="139"/>
        <v>106.70470756062767</v>
      </c>
      <c r="G348" s="596">
        <f>859273.6/1000</f>
        <v>859.27359999999999</v>
      </c>
      <c r="H348" s="596">
        <f t="shared" si="143"/>
        <v>572.85</v>
      </c>
      <c r="I348" s="596">
        <v>611.80213000000003</v>
      </c>
      <c r="J348" s="113">
        <f t="shared" si="140"/>
        <v>106.79970847516802</v>
      </c>
      <c r="K348" s="105"/>
    </row>
    <row r="349" spans="1:12" s="106" customFormat="1" ht="30.75" thickBot="1" x14ac:dyDescent="0.3">
      <c r="A349" s="106">
        <v>1</v>
      </c>
      <c r="B349" s="116" t="s">
        <v>123</v>
      </c>
      <c r="C349" s="113">
        <v>8400</v>
      </c>
      <c r="D349" s="107">
        <f t="shared" si="141"/>
        <v>5600</v>
      </c>
      <c r="E349" s="113">
        <v>3681</v>
      </c>
      <c r="F349" s="113">
        <f t="shared" si="139"/>
        <v>65.732142857142861</v>
      </c>
      <c r="G349" s="596">
        <v>6812.5680000000002</v>
      </c>
      <c r="H349" s="596">
        <f t="shared" si="143"/>
        <v>4541.71</v>
      </c>
      <c r="I349" s="596">
        <v>2945.9987599999995</v>
      </c>
      <c r="J349" s="113">
        <f t="shared" si="140"/>
        <v>64.865408843805511</v>
      </c>
      <c r="K349" s="105"/>
      <c r="L349" s="723"/>
    </row>
    <row r="350" spans="1:12" s="33" customFormat="1" ht="15" customHeight="1" thickBot="1" x14ac:dyDescent="0.3">
      <c r="A350" s="35">
        <v>1</v>
      </c>
      <c r="B350" s="111" t="s">
        <v>3</v>
      </c>
      <c r="C350" s="339"/>
      <c r="D350" s="339"/>
      <c r="E350" s="339"/>
      <c r="F350" s="338"/>
      <c r="G350" s="387">
        <f>G345+G340+G349</f>
        <v>22759.057809999998</v>
      </c>
      <c r="H350" s="387">
        <f>H345+H340+H349</f>
        <v>15172.71</v>
      </c>
      <c r="I350" s="387">
        <f>I345+I340+I349</f>
        <v>11604.30717</v>
      </c>
      <c r="J350" s="339">
        <f>I350/H350*100</f>
        <v>76.481440494150348</v>
      </c>
      <c r="K350" s="105"/>
      <c r="L350" s="723"/>
    </row>
    <row r="351" spans="1:12" ht="15" customHeight="1" x14ac:dyDescent="0.25">
      <c r="A351" s="35">
        <v>1</v>
      </c>
      <c r="B351" s="291" t="s">
        <v>42</v>
      </c>
      <c r="C351" s="172"/>
      <c r="D351" s="172"/>
      <c r="E351" s="172"/>
      <c r="F351" s="440"/>
      <c r="G351" s="369"/>
      <c r="H351" s="369"/>
      <c r="I351" s="369"/>
      <c r="J351" s="292"/>
      <c r="K351" s="105"/>
    </row>
    <row r="352" spans="1:12" ht="42" customHeight="1" x14ac:dyDescent="0.25">
      <c r="A352" s="35">
        <v>1</v>
      </c>
      <c r="B352" s="225" t="s">
        <v>120</v>
      </c>
      <c r="C352" s="170">
        <f t="shared" ref="C352:J361" si="144">C340</f>
        <v>3368</v>
      </c>
      <c r="D352" s="170">
        <f t="shared" si="144"/>
        <v>2245</v>
      </c>
      <c r="E352" s="170">
        <f t="shared" si="144"/>
        <v>1887</v>
      </c>
      <c r="F352" s="441">
        <f t="shared" si="144"/>
        <v>84.053452115812917</v>
      </c>
      <c r="G352" s="448">
        <f t="shared" si="144"/>
        <v>5553.6662100000003</v>
      </c>
      <c r="H352" s="448">
        <f t="shared" si="144"/>
        <v>3702.45</v>
      </c>
      <c r="I352" s="448">
        <f t="shared" si="144"/>
        <v>3086.3418600000005</v>
      </c>
      <c r="J352" s="173">
        <f t="shared" si="144"/>
        <v>83.359447392942528</v>
      </c>
      <c r="K352" s="105"/>
    </row>
    <row r="353" spans="1:12" ht="30.75" customHeight="1" x14ac:dyDescent="0.25">
      <c r="A353" s="35">
        <v>1</v>
      </c>
      <c r="B353" s="93" t="s">
        <v>79</v>
      </c>
      <c r="C353" s="170">
        <f t="shared" si="144"/>
        <v>2428</v>
      </c>
      <c r="D353" s="170">
        <f t="shared" si="144"/>
        <v>1619</v>
      </c>
      <c r="E353" s="170">
        <f t="shared" si="144"/>
        <v>1426</v>
      </c>
      <c r="F353" s="441">
        <f t="shared" si="144"/>
        <v>88.079061148857321</v>
      </c>
      <c r="G353" s="448">
        <f t="shared" si="144"/>
        <v>3299.7075999999997</v>
      </c>
      <c r="H353" s="448">
        <f t="shared" si="144"/>
        <v>2199.81</v>
      </c>
      <c r="I353" s="448">
        <f t="shared" si="144"/>
        <v>1799.7753900000002</v>
      </c>
      <c r="J353" s="173">
        <f t="shared" si="144"/>
        <v>81.815038116928292</v>
      </c>
      <c r="K353" s="105"/>
    </row>
    <row r="354" spans="1:12" ht="30.75" customHeight="1" x14ac:dyDescent="0.25">
      <c r="A354" s="35">
        <v>1</v>
      </c>
      <c r="B354" s="93" t="s">
        <v>80</v>
      </c>
      <c r="C354" s="170">
        <f t="shared" si="144"/>
        <v>728</v>
      </c>
      <c r="D354" s="170">
        <f t="shared" si="144"/>
        <v>485</v>
      </c>
      <c r="E354" s="170">
        <f t="shared" si="144"/>
        <v>264</v>
      </c>
      <c r="F354" s="441">
        <f t="shared" si="144"/>
        <v>54.432989690721648</v>
      </c>
      <c r="G354" s="448">
        <f t="shared" si="144"/>
        <v>1094.6578100000002</v>
      </c>
      <c r="H354" s="448">
        <f t="shared" si="144"/>
        <v>729.77</v>
      </c>
      <c r="I354" s="448">
        <f t="shared" si="144"/>
        <v>209.29167000000015</v>
      </c>
      <c r="J354" s="173">
        <f t="shared" si="144"/>
        <v>28.679127670361915</v>
      </c>
      <c r="K354" s="105"/>
    </row>
    <row r="355" spans="1:12" ht="44.25" customHeight="1" x14ac:dyDescent="0.25">
      <c r="A355" s="35">
        <v>1</v>
      </c>
      <c r="B355" s="93" t="s">
        <v>114</v>
      </c>
      <c r="C355" s="170">
        <f t="shared" si="144"/>
        <v>36</v>
      </c>
      <c r="D355" s="170">
        <f t="shared" si="144"/>
        <v>24</v>
      </c>
      <c r="E355" s="170">
        <f t="shared" si="144"/>
        <v>41</v>
      </c>
      <c r="F355" s="441">
        <f t="shared" si="144"/>
        <v>170.83333333333331</v>
      </c>
      <c r="G355" s="448">
        <f t="shared" si="144"/>
        <v>196.86240000000001</v>
      </c>
      <c r="H355" s="448">
        <f t="shared" si="144"/>
        <v>131.24</v>
      </c>
      <c r="I355" s="448">
        <f t="shared" si="144"/>
        <v>224.20439999999996</v>
      </c>
      <c r="J355" s="173">
        <f t="shared" si="144"/>
        <v>170.8354160316976</v>
      </c>
      <c r="K355" s="105"/>
    </row>
    <row r="356" spans="1:12" ht="30.75" customHeight="1" x14ac:dyDescent="0.25">
      <c r="A356" s="35">
        <v>1</v>
      </c>
      <c r="B356" s="93" t="s">
        <v>115</v>
      </c>
      <c r="C356" s="170">
        <f t="shared" si="144"/>
        <v>176</v>
      </c>
      <c r="D356" s="170">
        <f t="shared" si="144"/>
        <v>117</v>
      </c>
      <c r="E356" s="170">
        <f t="shared" si="144"/>
        <v>156</v>
      </c>
      <c r="F356" s="441">
        <f t="shared" si="144"/>
        <v>133.33333333333331</v>
      </c>
      <c r="G356" s="448">
        <f t="shared" si="144"/>
        <v>962.43839999999989</v>
      </c>
      <c r="H356" s="448">
        <f t="shared" si="144"/>
        <v>641.63</v>
      </c>
      <c r="I356" s="448">
        <f t="shared" si="144"/>
        <v>853.07040000000006</v>
      </c>
      <c r="J356" s="173">
        <f t="shared" si="144"/>
        <v>132.95363371413433</v>
      </c>
      <c r="K356" s="105"/>
    </row>
    <row r="357" spans="1:12" ht="42.75" customHeight="1" x14ac:dyDescent="0.25">
      <c r="A357" s="35">
        <v>1</v>
      </c>
      <c r="B357" s="225" t="s">
        <v>112</v>
      </c>
      <c r="C357" s="170">
        <f t="shared" si="144"/>
        <v>5552</v>
      </c>
      <c r="D357" s="170">
        <f t="shared" si="144"/>
        <v>3701</v>
      </c>
      <c r="E357" s="170">
        <f t="shared" si="144"/>
        <v>3005</v>
      </c>
      <c r="F357" s="441">
        <f t="shared" si="144"/>
        <v>81.194271818427453</v>
      </c>
      <c r="G357" s="448">
        <f t="shared" si="144"/>
        <v>10392.8236</v>
      </c>
      <c r="H357" s="448">
        <f t="shared" si="144"/>
        <v>6928.5500000000011</v>
      </c>
      <c r="I357" s="448">
        <f t="shared" si="144"/>
        <v>5571.9665500000001</v>
      </c>
      <c r="J357" s="173">
        <f t="shared" si="144"/>
        <v>80.420384496034515</v>
      </c>
      <c r="K357" s="105"/>
    </row>
    <row r="358" spans="1:12" ht="30" x14ac:dyDescent="0.25">
      <c r="A358" s="35">
        <v>1</v>
      </c>
      <c r="B358" s="93" t="s">
        <v>108</v>
      </c>
      <c r="C358" s="170">
        <f t="shared" si="144"/>
        <v>1500</v>
      </c>
      <c r="D358" s="170">
        <f t="shared" si="144"/>
        <v>1000</v>
      </c>
      <c r="E358" s="170">
        <f t="shared" si="144"/>
        <v>669</v>
      </c>
      <c r="F358" s="441">
        <f t="shared" si="144"/>
        <v>66.900000000000006</v>
      </c>
      <c r="G358" s="448">
        <f t="shared" si="144"/>
        <v>2650.65</v>
      </c>
      <c r="H358" s="448">
        <f t="shared" si="144"/>
        <v>1767.1</v>
      </c>
      <c r="I358" s="448">
        <f t="shared" si="144"/>
        <v>1184.1721800000003</v>
      </c>
      <c r="J358" s="170">
        <f t="shared" si="144"/>
        <v>67.012177013185465</v>
      </c>
      <c r="K358" s="105"/>
    </row>
    <row r="359" spans="1:12" ht="60" x14ac:dyDescent="0.25">
      <c r="A359" s="35">
        <v>1</v>
      </c>
      <c r="B359" s="93" t="s">
        <v>81</v>
      </c>
      <c r="C359" s="170">
        <f t="shared" si="144"/>
        <v>3000</v>
      </c>
      <c r="D359" s="170">
        <f t="shared" si="144"/>
        <v>2000</v>
      </c>
      <c r="E359" s="170">
        <f t="shared" si="144"/>
        <v>1588</v>
      </c>
      <c r="F359" s="441">
        <f t="shared" si="144"/>
        <v>79.400000000000006</v>
      </c>
      <c r="G359" s="448">
        <f t="shared" si="144"/>
        <v>6882.9</v>
      </c>
      <c r="H359" s="448">
        <f t="shared" si="144"/>
        <v>4588.6000000000004</v>
      </c>
      <c r="I359" s="448">
        <f t="shared" si="144"/>
        <v>3775.99224</v>
      </c>
      <c r="J359" s="173">
        <f t="shared" si="144"/>
        <v>82.290725711546003</v>
      </c>
      <c r="K359" s="105"/>
    </row>
    <row r="360" spans="1:12" ht="45" x14ac:dyDescent="0.25">
      <c r="A360" s="35">
        <v>1</v>
      </c>
      <c r="B360" s="93" t="s">
        <v>109</v>
      </c>
      <c r="C360" s="170">
        <f t="shared" si="144"/>
        <v>1052</v>
      </c>
      <c r="D360" s="170">
        <f t="shared" si="144"/>
        <v>701</v>
      </c>
      <c r="E360" s="170">
        <f t="shared" si="144"/>
        <v>748</v>
      </c>
      <c r="F360" s="441">
        <f t="shared" si="144"/>
        <v>106.70470756062767</v>
      </c>
      <c r="G360" s="448">
        <f t="shared" si="144"/>
        <v>859.27359999999999</v>
      </c>
      <c r="H360" s="448">
        <f t="shared" si="144"/>
        <v>572.85</v>
      </c>
      <c r="I360" s="448">
        <f t="shared" si="144"/>
        <v>611.80213000000003</v>
      </c>
      <c r="J360" s="170">
        <f t="shared" si="144"/>
        <v>106.79970847516802</v>
      </c>
      <c r="K360" s="105"/>
    </row>
    <row r="361" spans="1:12" ht="30.75" customHeight="1" thickBot="1" x14ac:dyDescent="0.3">
      <c r="B361" s="670" t="s">
        <v>123</v>
      </c>
      <c r="C361" s="423">
        <f t="shared" si="144"/>
        <v>8400</v>
      </c>
      <c r="D361" s="423">
        <f t="shared" si="144"/>
        <v>5600</v>
      </c>
      <c r="E361" s="423">
        <f t="shared" si="144"/>
        <v>3681</v>
      </c>
      <c r="F361" s="442">
        <f t="shared" si="144"/>
        <v>65.732142857142861</v>
      </c>
      <c r="G361" s="448">
        <f t="shared" si="144"/>
        <v>6812.5680000000002</v>
      </c>
      <c r="H361" s="448">
        <f t="shared" si="144"/>
        <v>4541.71</v>
      </c>
      <c r="I361" s="448">
        <f t="shared" si="144"/>
        <v>2945.9987599999995</v>
      </c>
      <c r="J361" s="419">
        <f t="shared" si="144"/>
        <v>64.865408843805511</v>
      </c>
      <c r="K361" s="105"/>
    </row>
    <row r="362" spans="1:12" s="13" customFormat="1" ht="19.5" customHeight="1" thickBot="1" x14ac:dyDescent="0.3">
      <c r="A362" s="35">
        <v>1</v>
      </c>
      <c r="B362" s="420" t="s">
        <v>117</v>
      </c>
      <c r="C362" s="421">
        <f t="shared" ref="C362:J362" si="145">C350</f>
        <v>0</v>
      </c>
      <c r="D362" s="421">
        <f t="shared" si="145"/>
        <v>0</v>
      </c>
      <c r="E362" s="421">
        <f t="shared" si="145"/>
        <v>0</v>
      </c>
      <c r="F362" s="443">
        <f t="shared" si="145"/>
        <v>0</v>
      </c>
      <c r="G362" s="422">
        <f t="shared" si="145"/>
        <v>22759.057809999998</v>
      </c>
      <c r="H362" s="422">
        <f t="shared" si="145"/>
        <v>15172.71</v>
      </c>
      <c r="I362" s="422">
        <f t="shared" si="145"/>
        <v>11604.30717</v>
      </c>
      <c r="J362" s="421">
        <f t="shared" si="145"/>
        <v>76.481440494150348</v>
      </c>
      <c r="K362" s="105"/>
      <c r="L362" s="723"/>
    </row>
    <row r="363" spans="1:12" ht="15.75" customHeight="1" x14ac:dyDescent="0.25">
      <c r="A363" s="35">
        <v>1</v>
      </c>
      <c r="B363" s="222"/>
      <c r="C363" s="2"/>
      <c r="D363" s="2"/>
      <c r="E363" s="140"/>
      <c r="F363" s="2"/>
      <c r="G363" s="386"/>
      <c r="H363" s="386"/>
      <c r="I363" s="346"/>
      <c r="J363" s="8"/>
      <c r="K363" s="105"/>
    </row>
    <row r="364" spans="1:12" ht="29.25" customHeight="1" x14ac:dyDescent="0.25">
      <c r="A364" s="35">
        <v>1</v>
      </c>
      <c r="B364" s="7" t="s">
        <v>43</v>
      </c>
      <c r="C364" s="148"/>
      <c r="D364" s="148"/>
      <c r="E364" s="148"/>
      <c r="F364" s="654"/>
      <c r="G364" s="370"/>
      <c r="H364" s="370"/>
      <c r="I364" s="370"/>
      <c r="J364" s="655"/>
      <c r="K364" s="105"/>
    </row>
    <row r="365" spans="1:12" ht="31.5" customHeight="1" x14ac:dyDescent="0.25">
      <c r="A365" s="35">
        <v>1</v>
      </c>
      <c r="B365" s="227" t="s">
        <v>120</v>
      </c>
      <c r="C365" s="113">
        <f>SUM(C366:C369)</f>
        <v>2533</v>
      </c>
      <c r="D365" s="113">
        <f>SUM(D366:D369)</f>
        <v>1689</v>
      </c>
      <c r="E365" s="113">
        <f>SUM(E366:E369)</f>
        <v>1946</v>
      </c>
      <c r="F365" s="129">
        <f>E365/D365*100</f>
        <v>115.21610420367081</v>
      </c>
      <c r="G365" s="596">
        <f>SUM(G366:G369)</f>
        <v>3780.3887299999997</v>
      </c>
      <c r="H365" s="596">
        <f>SUM(H366:H369)</f>
        <v>2520.2599999999998</v>
      </c>
      <c r="I365" s="596">
        <f>SUM(I366:I369)</f>
        <v>2896.35284</v>
      </c>
      <c r="J365" s="113">
        <f>I365/H365*100</f>
        <v>114.92277939577664</v>
      </c>
      <c r="K365" s="105"/>
    </row>
    <row r="366" spans="1:12" ht="38.1" customHeight="1" x14ac:dyDescent="0.25">
      <c r="A366" s="35">
        <v>1</v>
      </c>
      <c r="B366" s="71" t="s">
        <v>79</v>
      </c>
      <c r="C366" s="113">
        <v>1893</v>
      </c>
      <c r="D366" s="107">
        <f t="shared" ref="D366:D374" si="146">ROUND(C366/12*$B$3,0)</f>
        <v>1262</v>
      </c>
      <c r="E366" s="113">
        <v>1410</v>
      </c>
      <c r="F366" s="129">
        <f>E366/D366*100</f>
        <v>111.72741679873216</v>
      </c>
      <c r="G366" s="596">
        <v>2530.5713999999998</v>
      </c>
      <c r="H366" s="596">
        <f t="shared" ref="H366:H369" si="147">ROUND(G366/12*$B$3,2)</f>
        <v>1687.05</v>
      </c>
      <c r="I366" s="596">
        <v>1818.3372500000003</v>
      </c>
      <c r="J366" s="113">
        <f>I366/H366*100</f>
        <v>107.78206040129221</v>
      </c>
      <c r="K366" s="105"/>
    </row>
    <row r="367" spans="1:12" ht="38.1" customHeight="1" x14ac:dyDescent="0.25">
      <c r="A367" s="35">
        <v>1</v>
      </c>
      <c r="B367" s="71" t="s">
        <v>80</v>
      </c>
      <c r="C367" s="113">
        <v>568</v>
      </c>
      <c r="D367" s="107">
        <f t="shared" si="146"/>
        <v>379</v>
      </c>
      <c r="E367" s="113">
        <v>460</v>
      </c>
      <c r="F367" s="129">
        <f>E367/D367*100</f>
        <v>121.37203166226914</v>
      </c>
      <c r="G367" s="596">
        <v>856.09253000000001</v>
      </c>
      <c r="H367" s="596">
        <f t="shared" si="147"/>
        <v>570.73</v>
      </c>
      <c r="I367" s="596">
        <v>683.74394999999993</v>
      </c>
      <c r="J367" s="113">
        <f t="shared" ref="J367:J375" si="148">I367/H367*100</f>
        <v>119.80164876561594</v>
      </c>
      <c r="K367" s="105"/>
    </row>
    <row r="368" spans="1:12" ht="30" x14ac:dyDescent="0.25">
      <c r="A368" s="35">
        <v>1</v>
      </c>
      <c r="B368" s="71" t="s">
        <v>114</v>
      </c>
      <c r="C368" s="113"/>
      <c r="D368" s="107">
        <f t="shared" si="146"/>
        <v>0</v>
      </c>
      <c r="E368" s="113"/>
      <c r="F368" s="129"/>
      <c r="G368" s="596"/>
      <c r="H368" s="596">
        <f t="shared" si="147"/>
        <v>0</v>
      </c>
      <c r="I368" s="596"/>
      <c r="J368" s="113"/>
      <c r="K368" s="105"/>
    </row>
    <row r="369" spans="1:12" ht="30" x14ac:dyDescent="0.25">
      <c r="A369" s="35">
        <v>1</v>
      </c>
      <c r="B369" s="71" t="s">
        <v>115</v>
      </c>
      <c r="C369" s="113">
        <v>72</v>
      </c>
      <c r="D369" s="107">
        <f t="shared" si="146"/>
        <v>48</v>
      </c>
      <c r="E369" s="113">
        <v>76</v>
      </c>
      <c r="F369" s="129">
        <f t="shared" ref="F369:F374" si="149">E369/D369*100</f>
        <v>158.33333333333331</v>
      </c>
      <c r="G369" s="596">
        <v>393.72480000000002</v>
      </c>
      <c r="H369" s="596">
        <f t="shared" si="147"/>
        <v>262.48</v>
      </c>
      <c r="I369" s="596">
        <v>394.27163999999999</v>
      </c>
      <c r="J369" s="113">
        <f t="shared" si="148"/>
        <v>150.21016458396829</v>
      </c>
      <c r="K369" s="105"/>
    </row>
    <row r="370" spans="1:12" ht="30" x14ac:dyDescent="0.25">
      <c r="A370" s="35">
        <v>1</v>
      </c>
      <c r="B370" s="227" t="s">
        <v>112</v>
      </c>
      <c r="C370" s="113">
        <f>SUM(C371:C373)</f>
        <v>4966</v>
      </c>
      <c r="D370" s="113">
        <f>SUM(D371:D373)</f>
        <v>3311</v>
      </c>
      <c r="E370" s="113">
        <f>SUM(E371:E373)</f>
        <v>3307</v>
      </c>
      <c r="F370" s="129">
        <f t="shared" si="149"/>
        <v>99.879190576865</v>
      </c>
      <c r="G370" s="596">
        <f>SUM(G371:G373)</f>
        <v>9636.4437999999991</v>
      </c>
      <c r="H370" s="596">
        <f>SUM(H371:H373)</f>
        <v>6424.2999999999993</v>
      </c>
      <c r="I370" s="596">
        <f>SUM(I371:I373)</f>
        <v>5865.0718600000009</v>
      </c>
      <c r="J370" s="113">
        <f t="shared" si="148"/>
        <v>91.295111685319824</v>
      </c>
      <c r="K370" s="105"/>
    </row>
    <row r="371" spans="1:12" ht="30" x14ac:dyDescent="0.25">
      <c r="A371" s="35">
        <v>1</v>
      </c>
      <c r="B371" s="71" t="s">
        <v>108</v>
      </c>
      <c r="C371" s="113">
        <v>250</v>
      </c>
      <c r="D371" s="107">
        <f t="shared" si="146"/>
        <v>167</v>
      </c>
      <c r="E371" s="113">
        <v>166</v>
      </c>
      <c r="F371" s="129">
        <f t="shared" si="149"/>
        <v>99.401197604790411</v>
      </c>
      <c r="G371" s="596">
        <f>441775/1000</f>
        <v>441.77499999999998</v>
      </c>
      <c r="H371" s="596">
        <f t="shared" ref="H371:H374" si="150">ROUND(G371/12*$B$3,2)</f>
        <v>294.52</v>
      </c>
      <c r="I371" s="596">
        <v>291.26871999999997</v>
      </c>
      <c r="J371" s="113">
        <f t="shared" si="148"/>
        <v>98.896074969441798</v>
      </c>
      <c r="K371" s="105"/>
    </row>
    <row r="372" spans="1:12" ht="44.25" customHeight="1" x14ac:dyDescent="0.25">
      <c r="A372" s="35">
        <v>1</v>
      </c>
      <c r="B372" s="71" t="s">
        <v>118</v>
      </c>
      <c r="C372" s="113">
        <v>3616</v>
      </c>
      <c r="D372" s="107">
        <f t="shared" si="146"/>
        <v>2411</v>
      </c>
      <c r="E372" s="113">
        <v>2414</v>
      </c>
      <c r="F372" s="129">
        <f t="shared" si="149"/>
        <v>100.12442969722106</v>
      </c>
      <c r="G372" s="596">
        <f>8296188.8/1000</f>
        <v>8296.1887999999999</v>
      </c>
      <c r="H372" s="596">
        <f t="shared" si="150"/>
        <v>5530.79</v>
      </c>
      <c r="I372" s="596">
        <v>5033.616930000001</v>
      </c>
      <c r="J372" s="113">
        <f t="shared" si="148"/>
        <v>91.010812741037014</v>
      </c>
      <c r="K372" s="756"/>
    </row>
    <row r="373" spans="1:12" ht="44.25" customHeight="1" x14ac:dyDescent="0.25">
      <c r="A373" s="35">
        <v>1</v>
      </c>
      <c r="B373" s="71" t="s">
        <v>109</v>
      </c>
      <c r="C373" s="113">
        <v>1100</v>
      </c>
      <c r="D373" s="107">
        <f t="shared" si="146"/>
        <v>733</v>
      </c>
      <c r="E373" s="113">
        <v>727</v>
      </c>
      <c r="F373" s="129">
        <f t="shared" si="149"/>
        <v>99.181446111869036</v>
      </c>
      <c r="G373" s="596">
        <f>898480/1000</f>
        <v>898.48</v>
      </c>
      <c r="H373" s="596">
        <f t="shared" si="150"/>
        <v>598.99</v>
      </c>
      <c r="I373" s="596">
        <v>540.18621000000007</v>
      </c>
      <c r="J373" s="113">
        <f t="shared" si="148"/>
        <v>90.182842785355348</v>
      </c>
      <c r="K373" s="105"/>
    </row>
    <row r="374" spans="1:12" s="106" customFormat="1" ht="30.75" thickBot="1" x14ac:dyDescent="0.3">
      <c r="A374" s="106">
        <v>1</v>
      </c>
      <c r="B374" s="116" t="s">
        <v>123</v>
      </c>
      <c r="C374" s="113">
        <v>9263</v>
      </c>
      <c r="D374" s="107">
        <f t="shared" si="146"/>
        <v>6175</v>
      </c>
      <c r="E374" s="113">
        <v>6196</v>
      </c>
      <c r="F374" s="113">
        <f t="shared" si="149"/>
        <v>100.34008097165992</v>
      </c>
      <c r="G374" s="596">
        <v>7512.4782599999999</v>
      </c>
      <c r="H374" s="596">
        <f t="shared" si="150"/>
        <v>5008.32</v>
      </c>
      <c r="I374" s="596">
        <v>5024.7555199999997</v>
      </c>
      <c r="J374" s="113">
        <f t="shared" si="148"/>
        <v>100.32816433454732</v>
      </c>
      <c r="K374" s="105"/>
      <c r="L374" s="723"/>
    </row>
    <row r="375" spans="1:12" s="13" customFormat="1" ht="15" customHeight="1" thickBot="1" x14ac:dyDescent="0.3">
      <c r="A375" s="35">
        <v>1</v>
      </c>
      <c r="B375" s="111" t="s">
        <v>3</v>
      </c>
      <c r="C375" s="426"/>
      <c r="D375" s="426"/>
      <c r="E375" s="426"/>
      <c r="F375" s="444"/>
      <c r="G375" s="627">
        <f>G370+G365+G374</f>
        <v>20929.31079</v>
      </c>
      <c r="H375" s="627">
        <f>H370+H365+H374</f>
        <v>13952.88</v>
      </c>
      <c r="I375" s="627">
        <v>3770.4319799999998</v>
      </c>
      <c r="J375" s="426">
        <f t="shared" si="148"/>
        <v>27.022607375681577</v>
      </c>
      <c r="K375" s="105"/>
      <c r="L375" s="723"/>
    </row>
    <row r="376" spans="1:12" ht="29.25" customHeight="1" x14ac:dyDescent="0.25">
      <c r="A376" s="35">
        <v>1</v>
      </c>
      <c r="B376" s="80" t="s">
        <v>44</v>
      </c>
      <c r="C376" s="142"/>
      <c r="D376" s="142"/>
      <c r="E376" s="142"/>
      <c r="F376" s="142"/>
      <c r="G376" s="366"/>
      <c r="H376" s="366"/>
      <c r="I376" s="366"/>
      <c r="J376" s="142"/>
      <c r="K376" s="105"/>
    </row>
    <row r="377" spans="1:12" ht="30" x14ac:dyDescent="0.25">
      <c r="A377" s="35">
        <v>1</v>
      </c>
      <c r="B377" s="227" t="s">
        <v>120</v>
      </c>
      <c r="C377" s="113">
        <f>SUM(C378:C381)</f>
        <v>11144</v>
      </c>
      <c r="D377" s="113">
        <f>SUM(D378:D381)</f>
        <v>7429</v>
      </c>
      <c r="E377" s="113">
        <f>SUM(E378:E381)</f>
        <v>8472</v>
      </c>
      <c r="F377" s="129">
        <f t="shared" ref="F377:F386" si="151">E377/D377*100</f>
        <v>114.03957463992462</v>
      </c>
      <c r="G377" s="596">
        <f>SUM(G378:G381)</f>
        <v>15718.156489999998</v>
      </c>
      <c r="H377" s="596">
        <f>SUM(H378:H381)</f>
        <v>10478.77</v>
      </c>
      <c r="I377" s="596">
        <f>SUM(I378:I381)</f>
        <v>12033.921960000001</v>
      </c>
      <c r="J377" s="113">
        <f>I377/H377*100</f>
        <v>114.84097809189437</v>
      </c>
      <c r="K377" s="105"/>
    </row>
    <row r="378" spans="1:12" ht="30" x14ac:dyDescent="0.25">
      <c r="A378" s="35">
        <v>1</v>
      </c>
      <c r="B378" s="71" t="s">
        <v>79</v>
      </c>
      <c r="C378" s="113">
        <v>8508</v>
      </c>
      <c r="D378" s="107">
        <f t="shared" ref="D378:D386" si="152">ROUND(C378/12*$B$3,0)</f>
        <v>5672</v>
      </c>
      <c r="E378" s="113">
        <v>6476</v>
      </c>
      <c r="F378" s="129">
        <f t="shared" si="151"/>
        <v>114.17489421720732</v>
      </c>
      <c r="G378" s="596">
        <v>11344.544399999999</v>
      </c>
      <c r="H378" s="596">
        <f t="shared" ref="H378:H381" si="153">ROUND(G378/12*$B$3,2)</f>
        <v>7563.03</v>
      </c>
      <c r="I378" s="596">
        <v>8667.2036700000026</v>
      </c>
      <c r="J378" s="113">
        <f>I378/H378*100</f>
        <v>114.59962039024046</v>
      </c>
      <c r="K378" s="105"/>
    </row>
    <row r="379" spans="1:12" ht="30" x14ac:dyDescent="0.25">
      <c r="A379" s="35">
        <v>1</v>
      </c>
      <c r="B379" s="71" t="s">
        <v>80</v>
      </c>
      <c r="C379" s="113">
        <v>2552</v>
      </c>
      <c r="D379" s="107">
        <f t="shared" si="152"/>
        <v>1701</v>
      </c>
      <c r="E379" s="113">
        <v>1902</v>
      </c>
      <c r="F379" s="129">
        <f t="shared" si="151"/>
        <v>111.81657848324515</v>
      </c>
      <c r="G379" s="596">
        <v>3914.2664900000004</v>
      </c>
      <c r="H379" s="596">
        <f t="shared" si="153"/>
        <v>2609.5100000000002</v>
      </c>
      <c r="I379" s="596">
        <v>2863.6254900000004</v>
      </c>
      <c r="J379" s="113">
        <f t="shared" ref="J379:J387" si="154">I379/H379*100</f>
        <v>109.73805388751146</v>
      </c>
      <c r="K379" s="105"/>
    </row>
    <row r="380" spans="1:12" ht="30" x14ac:dyDescent="0.25">
      <c r="A380" s="35">
        <v>1</v>
      </c>
      <c r="B380" s="71" t="s">
        <v>114</v>
      </c>
      <c r="C380" s="113">
        <v>60</v>
      </c>
      <c r="D380" s="107">
        <f t="shared" si="152"/>
        <v>40</v>
      </c>
      <c r="E380" s="113">
        <v>70</v>
      </c>
      <c r="F380" s="129">
        <f t="shared" si="151"/>
        <v>175</v>
      </c>
      <c r="G380" s="596">
        <v>328.10399999999998</v>
      </c>
      <c r="H380" s="596">
        <f t="shared" si="153"/>
        <v>218.74</v>
      </c>
      <c r="I380" s="596">
        <v>371.85120000000001</v>
      </c>
      <c r="J380" s="113">
        <f t="shared" si="154"/>
        <v>169.9968912864588</v>
      </c>
      <c r="K380" s="105"/>
    </row>
    <row r="381" spans="1:12" ht="30" x14ac:dyDescent="0.25">
      <c r="A381" s="35">
        <v>1</v>
      </c>
      <c r="B381" s="71" t="s">
        <v>115</v>
      </c>
      <c r="C381" s="113">
        <v>24</v>
      </c>
      <c r="D381" s="107">
        <f t="shared" si="152"/>
        <v>16</v>
      </c>
      <c r="E381" s="113">
        <v>24</v>
      </c>
      <c r="F381" s="129">
        <f t="shared" si="151"/>
        <v>150</v>
      </c>
      <c r="G381" s="596">
        <v>131.24159999999998</v>
      </c>
      <c r="H381" s="596">
        <f t="shared" si="153"/>
        <v>87.49</v>
      </c>
      <c r="I381" s="596">
        <v>131.24160000000001</v>
      </c>
      <c r="J381" s="113">
        <f t="shared" si="154"/>
        <v>150.00754371928221</v>
      </c>
      <c r="K381" s="105"/>
    </row>
    <row r="382" spans="1:12" ht="30" x14ac:dyDescent="0.25">
      <c r="A382" s="35">
        <v>1</v>
      </c>
      <c r="B382" s="227" t="s">
        <v>112</v>
      </c>
      <c r="C382" s="113">
        <f>SUM(C383:C385)</f>
        <v>20500</v>
      </c>
      <c r="D382" s="113">
        <f>SUM(D383:D385)</f>
        <v>13667</v>
      </c>
      <c r="E382" s="113">
        <f>SUM(E383:E385)</f>
        <v>11810</v>
      </c>
      <c r="F382" s="129">
        <f t="shared" si="151"/>
        <v>86.412526523743324</v>
      </c>
      <c r="G382" s="596">
        <f>SUM(G383:G385)</f>
        <v>32986.49</v>
      </c>
      <c r="H382" s="596">
        <f>SUM(H383:H385)</f>
        <v>21990.989999999998</v>
      </c>
      <c r="I382" s="596">
        <f>SUM(I383:I385)</f>
        <v>20023.142240000005</v>
      </c>
      <c r="J382" s="113">
        <f t="shared" si="154"/>
        <v>91.051572666805853</v>
      </c>
      <c r="K382" s="105"/>
    </row>
    <row r="383" spans="1:12" ht="30" x14ac:dyDescent="0.25">
      <c r="A383" s="35">
        <v>1</v>
      </c>
      <c r="B383" s="71" t="s">
        <v>108</v>
      </c>
      <c r="C383" s="113">
        <v>300</v>
      </c>
      <c r="D383" s="107">
        <f t="shared" si="152"/>
        <v>200</v>
      </c>
      <c r="E383" s="113">
        <v>224</v>
      </c>
      <c r="F383" s="129">
        <f t="shared" si="151"/>
        <v>112.00000000000001</v>
      </c>
      <c r="G383" s="596">
        <f>530130/1000</f>
        <v>530.13</v>
      </c>
      <c r="H383" s="596">
        <f t="shared" ref="H383:H386" si="155">ROUND(G383/12*$B$3,2)</f>
        <v>353.42</v>
      </c>
      <c r="I383" s="596">
        <v>388.24596000000003</v>
      </c>
      <c r="J383" s="113">
        <f t="shared" si="154"/>
        <v>109.85398675796503</v>
      </c>
      <c r="K383" s="105"/>
    </row>
    <row r="384" spans="1:12" ht="56.25" customHeight="1" x14ac:dyDescent="0.25">
      <c r="A384" s="35">
        <v>1</v>
      </c>
      <c r="B384" s="71" t="s">
        <v>118</v>
      </c>
      <c r="C384" s="113">
        <v>10800</v>
      </c>
      <c r="D384" s="107">
        <f t="shared" si="152"/>
        <v>7200</v>
      </c>
      <c r="E384" s="113">
        <v>7445</v>
      </c>
      <c r="F384" s="129">
        <f t="shared" si="151"/>
        <v>103.40277777777777</v>
      </c>
      <c r="G384" s="596">
        <f>24778440/1000</f>
        <v>24778.44</v>
      </c>
      <c r="H384" s="596">
        <f t="shared" si="155"/>
        <v>16518.96</v>
      </c>
      <c r="I384" s="596">
        <v>16018.070710000004</v>
      </c>
      <c r="J384" s="113">
        <f t="shared" si="154"/>
        <v>96.967791616421394</v>
      </c>
      <c r="K384" s="755"/>
    </row>
    <row r="385" spans="1:12" ht="45" x14ac:dyDescent="0.25">
      <c r="A385" s="35">
        <v>1</v>
      </c>
      <c r="B385" s="71" t="s">
        <v>109</v>
      </c>
      <c r="C385" s="113">
        <v>9400</v>
      </c>
      <c r="D385" s="107">
        <f t="shared" si="152"/>
        <v>6267</v>
      </c>
      <c r="E385" s="113">
        <v>4141</v>
      </c>
      <c r="F385" s="129">
        <f t="shared" si="151"/>
        <v>66.076272538694752</v>
      </c>
      <c r="G385" s="596">
        <f>7677920/1000</f>
        <v>7677.92</v>
      </c>
      <c r="H385" s="596">
        <f t="shared" si="155"/>
        <v>5118.6099999999997</v>
      </c>
      <c r="I385" s="596">
        <v>3616.82557</v>
      </c>
      <c r="J385" s="113">
        <f t="shared" si="154"/>
        <v>70.660307583504121</v>
      </c>
      <c r="K385" s="105"/>
    </row>
    <row r="386" spans="1:12" s="106" customFormat="1" ht="30.75" thickBot="1" x14ac:dyDescent="0.3">
      <c r="A386" s="106">
        <v>1</v>
      </c>
      <c r="B386" s="116" t="s">
        <v>123</v>
      </c>
      <c r="C386" s="113">
        <v>30400</v>
      </c>
      <c r="D386" s="107">
        <f t="shared" si="152"/>
        <v>20267</v>
      </c>
      <c r="E386" s="113">
        <v>20050</v>
      </c>
      <c r="F386" s="113">
        <f t="shared" si="151"/>
        <v>98.929293926086743</v>
      </c>
      <c r="G386" s="596">
        <v>24655.008000000002</v>
      </c>
      <c r="H386" s="596">
        <f t="shared" si="155"/>
        <v>16436.669999999998</v>
      </c>
      <c r="I386" s="596">
        <v>16189.157599999999</v>
      </c>
      <c r="J386" s="113">
        <f t="shared" si="154"/>
        <v>98.494145103600673</v>
      </c>
      <c r="K386" s="105"/>
      <c r="L386" s="723"/>
    </row>
    <row r="387" spans="1:12" s="33" customFormat="1" ht="15.75" thickBot="1" x14ac:dyDescent="0.3">
      <c r="A387" s="35">
        <v>1</v>
      </c>
      <c r="B387" s="111" t="s">
        <v>3</v>
      </c>
      <c r="C387" s="339"/>
      <c r="D387" s="339"/>
      <c r="E387" s="339"/>
      <c r="F387" s="444"/>
      <c r="G387" s="388">
        <f>G382+G377+G386</f>
        <v>73359.654490000001</v>
      </c>
      <c r="H387" s="388">
        <f>H382+H377+H386</f>
        <v>48906.429999999993</v>
      </c>
      <c r="I387" s="388">
        <f>I382+I377+I386</f>
        <v>48246.221800000007</v>
      </c>
      <c r="J387" s="339">
        <f t="shared" si="154"/>
        <v>98.650058489241616</v>
      </c>
      <c r="K387" s="105"/>
      <c r="L387" s="723"/>
    </row>
    <row r="388" spans="1:12" ht="32.25" customHeight="1" x14ac:dyDescent="0.25">
      <c r="A388" s="35">
        <v>1</v>
      </c>
      <c r="B388" s="282" t="s">
        <v>45</v>
      </c>
      <c r="C388" s="283"/>
      <c r="D388" s="283"/>
      <c r="E388" s="284"/>
      <c r="F388" s="280"/>
      <c r="G388" s="392"/>
      <c r="H388" s="392"/>
      <c r="I388" s="371"/>
      <c r="J388" s="283"/>
      <c r="K388" s="105"/>
    </row>
    <row r="389" spans="1:12" ht="43.5" customHeight="1" x14ac:dyDescent="0.25">
      <c r="A389" s="35">
        <v>1</v>
      </c>
      <c r="B389" s="228" t="s">
        <v>120</v>
      </c>
      <c r="C389" s="24">
        <f t="shared" ref="C389:E394" si="156">C377+C365</f>
        <v>13677</v>
      </c>
      <c r="D389" s="24">
        <f t="shared" si="156"/>
        <v>9118</v>
      </c>
      <c r="E389" s="24">
        <f t="shared" si="156"/>
        <v>10418</v>
      </c>
      <c r="F389" s="15">
        <f>E389/D389*100</f>
        <v>114.25751261241501</v>
      </c>
      <c r="G389" s="447">
        <f t="shared" ref="G389:I397" si="157">SUM(G377,G365)</f>
        <v>19498.545219999996</v>
      </c>
      <c r="H389" s="447">
        <f t="shared" si="157"/>
        <v>12999.03</v>
      </c>
      <c r="I389" s="447">
        <f t="shared" si="157"/>
        <v>14930.274800000001</v>
      </c>
      <c r="J389" s="23">
        <f>I389/H389*100</f>
        <v>114.85683777943431</v>
      </c>
      <c r="K389" s="105"/>
    </row>
    <row r="390" spans="1:12" ht="30" x14ac:dyDescent="0.25">
      <c r="A390" s="35">
        <v>1</v>
      </c>
      <c r="B390" s="226" t="s">
        <v>79</v>
      </c>
      <c r="C390" s="24">
        <f t="shared" si="156"/>
        <v>10401</v>
      </c>
      <c r="D390" s="24">
        <f t="shared" si="156"/>
        <v>6934</v>
      </c>
      <c r="E390" s="24">
        <f t="shared" si="156"/>
        <v>7886</v>
      </c>
      <c r="F390" s="15">
        <f t="shared" ref="F390:F398" si="158">E390/D390*100</f>
        <v>113.72944909143352</v>
      </c>
      <c r="G390" s="447">
        <f t="shared" si="157"/>
        <v>13875.1158</v>
      </c>
      <c r="H390" s="447">
        <f t="shared" si="157"/>
        <v>9250.08</v>
      </c>
      <c r="I390" s="447">
        <f t="shared" si="157"/>
        <v>10485.540920000003</v>
      </c>
      <c r="J390" s="23">
        <f t="shared" ref="J390:J399" si="159">I390/H390*100</f>
        <v>113.35621875702699</v>
      </c>
      <c r="K390" s="105"/>
    </row>
    <row r="391" spans="1:12" ht="30" x14ac:dyDescent="0.25">
      <c r="A391" s="35">
        <v>1</v>
      </c>
      <c r="B391" s="226" t="s">
        <v>80</v>
      </c>
      <c r="C391" s="24">
        <f t="shared" si="156"/>
        <v>3120</v>
      </c>
      <c r="D391" s="24">
        <f t="shared" si="156"/>
        <v>2080</v>
      </c>
      <c r="E391" s="24">
        <f t="shared" si="156"/>
        <v>2362</v>
      </c>
      <c r="F391" s="15">
        <f t="shared" si="158"/>
        <v>113.55769230769231</v>
      </c>
      <c r="G391" s="447">
        <f t="shared" si="157"/>
        <v>4770.3590200000008</v>
      </c>
      <c r="H391" s="447">
        <f t="shared" si="157"/>
        <v>3180.2400000000002</v>
      </c>
      <c r="I391" s="447">
        <f t="shared" si="157"/>
        <v>3547.3694400000004</v>
      </c>
      <c r="J391" s="23">
        <f t="shared" si="159"/>
        <v>111.54407969209872</v>
      </c>
      <c r="K391" s="105"/>
    </row>
    <row r="392" spans="1:12" ht="30" x14ac:dyDescent="0.25">
      <c r="A392" s="35">
        <v>1</v>
      </c>
      <c r="B392" s="226" t="s">
        <v>114</v>
      </c>
      <c r="C392" s="24">
        <f t="shared" si="156"/>
        <v>60</v>
      </c>
      <c r="D392" s="24">
        <f t="shared" si="156"/>
        <v>40</v>
      </c>
      <c r="E392" s="24">
        <f t="shared" si="156"/>
        <v>70</v>
      </c>
      <c r="F392" s="15">
        <f t="shared" si="158"/>
        <v>175</v>
      </c>
      <c r="G392" s="447">
        <f t="shared" si="157"/>
        <v>328.10399999999998</v>
      </c>
      <c r="H392" s="447">
        <f t="shared" si="157"/>
        <v>218.74</v>
      </c>
      <c r="I392" s="447">
        <f t="shared" si="157"/>
        <v>371.85120000000001</v>
      </c>
      <c r="J392" s="23">
        <f t="shared" si="159"/>
        <v>169.9968912864588</v>
      </c>
      <c r="K392" s="105"/>
    </row>
    <row r="393" spans="1:12" ht="30" x14ac:dyDescent="0.25">
      <c r="A393" s="35">
        <v>1</v>
      </c>
      <c r="B393" s="226" t="s">
        <v>115</v>
      </c>
      <c r="C393" s="24">
        <f t="shared" si="156"/>
        <v>96</v>
      </c>
      <c r="D393" s="24">
        <f t="shared" si="156"/>
        <v>64</v>
      </c>
      <c r="E393" s="24">
        <f t="shared" si="156"/>
        <v>100</v>
      </c>
      <c r="F393" s="15">
        <f t="shared" si="158"/>
        <v>156.25</v>
      </c>
      <c r="G393" s="447">
        <f t="shared" si="157"/>
        <v>524.96640000000002</v>
      </c>
      <c r="H393" s="447">
        <f t="shared" si="157"/>
        <v>349.97</v>
      </c>
      <c r="I393" s="447">
        <f t="shared" si="157"/>
        <v>525.51324</v>
      </c>
      <c r="J393" s="23">
        <f t="shared" si="159"/>
        <v>150.15951081521274</v>
      </c>
      <c r="K393" s="105"/>
    </row>
    <row r="394" spans="1:12" ht="30" x14ac:dyDescent="0.25">
      <c r="A394" s="35">
        <v>1</v>
      </c>
      <c r="B394" s="228" t="s">
        <v>112</v>
      </c>
      <c r="C394" s="24">
        <f t="shared" si="156"/>
        <v>25466</v>
      </c>
      <c r="D394" s="24">
        <f t="shared" si="156"/>
        <v>16978</v>
      </c>
      <c r="E394" s="24">
        <f t="shared" si="156"/>
        <v>15117</v>
      </c>
      <c r="F394" s="15">
        <f t="shared" si="158"/>
        <v>89.038756037224644</v>
      </c>
      <c r="G394" s="447">
        <f t="shared" si="157"/>
        <v>42622.933799999999</v>
      </c>
      <c r="H394" s="447">
        <f t="shared" si="157"/>
        <v>28415.289999999997</v>
      </c>
      <c r="I394" s="447">
        <f t="shared" si="157"/>
        <v>25888.214100000005</v>
      </c>
      <c r="J394" s="23">
        <f t="shared" si="159"/>
        <v>91.106633435731283</v>
      </c>
      <c r="K394" s="105"/>
    </row>
    <row r="395" spans="1:12" ht="30" x14ac:dyDescent="0.25">
      <c r="A395" s="35">
        <v>1</v>
      </c>
      <c r="B395" s="226" t="s">
        <v>108</v>
      </c>
      <c r="C395" s="24">
        <f t="shared" ref="C395:E397" si="160">SUM(C383,C371)</f>
        <v>550</v>
      </c>
      <c r="D395" s="24">
        <f t="shared" si="160"/>
        <v>367</v>
      </c>
      <c r="E395" s="24">
        <f t="shared" si="160"/>
        <v>390</v>
      </c>
      <c r="F395" s="15">
        <f t="shared" si="158"/>
        <v>106.26702997275204</v>
      </c>
      <c r="G395" s="447">
        <f t="shared" si="157"/>
        <v>971.90499999999997</v>
      </c>
      <c r="H395" s="447">
        <f t="shared" si="157"/>
        <v>647.94000000000005</v>
      </c>
      <c r="I395" s="447">
        <f t="shared" si="157"/>
        <v>679.51468</v>
      </c>
      <c r="J395" s="23">
        <f t="shared" si="159"/>
        <v>104.87308701422971</v>
      </c>
      <c r="K395" s="105"/>
    </row>
    <row r="396" spans="1:12" ht="60" x14ac:dyDescent="0.25">
      <c r="A396" s="35">
        <v>1</v>
      </c>
      <c r="B396" s="226" t="s">
        <v>81</v>
      </c>
      <c r="C396" s="24">
        <f t="shared" si="160"/>
        <v>14416</v>
      </c>
      <c r="D396" s="24">
        <f t="shared" si="160"/>
        <v>9611</v>
      </c>
      <c r="E396" s="24">
        <f t="shared" si="160"/>
        <v>9859</v>
      </c>
      <c r="F396" s="15">
        <f t="shared" si="158"/>
        <v>102.5803766517532</v>
      </c>
      <c r="G396" s="447">
        <f t="shared" si="157"/>
        <v>33074.628799999999</v>
      </c>
      <c r="H396" s="447">
        <f t="shared" si="157"/>
        <v>22049.75</v>
      </c>
      <c r="I396" s="447">
        <f t="shared" si="157"/>
        <v>21051.687640000004</v>
      </c>
      <c r="J396" s="23">
        <f t="shared" si="159"/>
        <v>95.473588770847755</v>
      </c>
      <c r="K396" s="105"/>
    </row>
    <row r="397" spans="1:12" ht="45" x14ac:dyDescent="0.25">
      <c r="A397" s="35">
        <v>1</v>
      </c>
      <c r="B397" s="226" t="s">
        <v>109</v>
      </c>
      <c r="C397" s="24">
        <f t="shared" si="160"/>
        <v>10500</v>
      </c>
      <c r="D397" s="24">
        <f t="shared" si="160"/>
        <v>7000</v>
      </c>
      <c r="E397" s="24">
        <f t="shared" si="160"/>
        <v>4868</v>
      </c>
      <c r="F397" s="15">
        <f t="shared" si="158"/>
        <v>69.542857142857144</v>
      </c>
      <c r="G397" s="447">
        <f t="shared" si="157"/>
        <v>8576.4</v>
      </c>
      <c r="H397" s="447">
        <f t="shared" si="157"/>
        <v>5717.5999999999995</v>
      </c>
      <c r="I397" s="447">
        <f t="shared" si="157"/>
        <v>4157.0117799999998</v>
      </c>
      <c r="J397" s="23">
        <f t="shared" si="159"/>
        <v>72.705536938575634</v>
      </c>
      <c r="K397" s="105"/>
    </row>
    <row r="398" spans="1:12" ht="30.75" thickBot="1" x14ac:dyDescent="0.3">
      <c r="B398" s="671" t="s">
        <v>123</v>
      </c>
      <c r="C398" s="672">
        <f>SUM(C374,C386)</f>
        <v>39663</v>
      </c>
      <c r="D398" s="672">
        <f>SUM(D374,D386)</f>
        <v>26442</v>
      </c>
      <c r="E398" s="672">
        <f>SUM(E374,E386)</f>
        <v>26246</v>
      </c>
      <c r="F398" s="15">
        <f t="shared" si="158"/>
        <v>99.258755010967405</v>
      </c>
      <c r="G398" s="672">
        <f>SUM(G374,G386)</f>
        <v>32167.486260000001</v>
      </c>
      <c r="H398" s="672">
        <f>SUM(H374,H386)</f>
        <v>21444.989999999998</v>
      </c>
      <c r="I398" s="672">
        <f>SUM(I374,I386)</f>
        <v>21213.913119999997</v>
      </c>
      <c r="J398" s="23">
        <f t="shared" si="159"/>
        <v>98.922466832579531</v>
      </c>
      <c r="K398" s="105"/>
    </row>
    <row r="399" spans="1:12" ht="15.75" thickBot="1" x14ac:dyDescent="0.3">
      <c r="A399" s="35">
        <v>1</v>
      </c>
      <c r="B399" s="425" t="s">
        <v>117</v>
      </c>
      <c r="C399" s="375">
        <f t="shared" ref="C399:I399" si="161">SUM(C387,C375)</f>
        <v>0</v>
      </c>
      <c r="D399" s="375">
        <f t="shared" si="161"/>
        <v>0</v>
      </c>
      <c r="E399" s="375">
        <f t="shared" si="161"/>
        <v>0</v>
      </c>
      <c r="F399" s="445">
        <f t="shared" si="161"/>
        <v>0</v>
      </c>
      <c r="G399" s="376">
        <f t="shared" si="161"/>
        <v>94288.965280000004</v>
      </c>
      <c r="H399" s="376">
        <f t="shared" si="161"/>
        <v>62859.30999999999</v>
      </c>
      <c r="I399" s="376">
        <f t="shared" si="161"/>
        <v>52016.653780000008</v>
      </c>
      <c r="J399" s="375">
        <f t="shared" si="159"/>
        <v>82.750914351430225</v>
      </c>
      <c r="K399" s="105"/>
    </row>
    <row r="407" spans="2:10" x14ac:dyDescent="0.25">
      <c r="B407" s="35"/>
      <c r="C407" s="35"/>
      <c r="D407" s="35"/>
      <c r="E407" s="106"/>
      <c r="F407" s="35"/>
      <c r="G407" s="393"/>
      <c r="H407" s="393"/>
      <c r="I407" s="373"/>
      <c r="J407" s="35"/>
    </row>
    <row r="408" spans="2:10" x14ac:dyDescent="0.25">
      <c r="B408" s="35"/>
      <c r="C408" s="35"/>
      <c r="D408" s="35"/>
      <c r="E408" s="106"/>
      <c r="F408" s="35"/>
      <c r="G408" s="393"/>
      <c r="H408" s="393"/>
      <c r="I408" s="373"/>
      <c r="J408" s="35"/>
    </row>
    <row r="409" spans="2:10" x14ac:dyDescent="0.25">
      <c r="B409" s="35"/>
      <c r="C409" s="35"/>
      <c r="D409" s="35"/>
      <c r="E409" s="106"/>
      <c r="F409" s="35"/>
      <c r="G409" s="393"/>
      <c r="H409" s="393"/>
      <c r="I409" s="373"/>
      <c r="J409" s="35"/>
    </row>
    <row r="410" spans="2:10" x14ac:dyDescent="0.25">
      <c r="B410" s="35"/>
      <c r="C410" s="35"/>
      <c r="D410" s="35"/>
      <c r="E410" s="106"/>
      <c r="F410" s="35"/>
      <c r="G410" s="393"/>
      <c r="H410" s="393"/>
      <c r="I410" s="373"/>
      <c r="J410" s="35"/>
    </row>
    <row r="411" spans="2:10" x14ac:dyDescent="0.25">
      <c r="B411" s="35"/>
      <c r="C411" s="35"/>
      <c r="D411" s="35"/>
      <c r="E411" s="106"/>
      <c r="F411" s="35"/>
      <c r="G411" s="393"/>
      <c r="H411" s="393"/>
      <c r="I411" s="373"/>
      <c r="J411" s="35"/>
    </row>
    <row r="412" spans="2:10" x14ac:dyDescent="0.25">
      <c r="B412" s="35"/>
      <c r="C412" s="35"/>
      <c r="D412" s="35"/>
      <c r="E412" s="106"/>
      <c r="F412" s="35"/>
      <c r="G412" s="393"/>
      <c r="H412" s="393"/>
      <c r="I412" s="373"/>
      <c r="J412" s="35"/>
    </row>
    <row r="413" spans="2:10" x14ac:dyDescent="0.25">
      <c r="B413" s="35"/>
      <c r="C413" s="35"/>
      <c r="D413" s="35"/>
      <c r="E413" s="106"/>
      <c r="F413" s="35"/>
      <c r="G413" s="393"/>
      <c r="H413" s="393"/>
      <c r="I413" s="373"/>
      <c r="J413" s="35"/>
    </row>
    <row r="414" spans="2:10" x14ac:dyDescent="0.25">
      <c r="B414" s="35"/>
      <c r="C414" s="35"/>
      <c r="D414" s="35"/>
      <c r="E414" s="106"/>
      <c r="F414" s="35"/>
      <c r="G414" s="393"/>
      <c r="H414" s="393"/>
      <c r="I414" s="373"/>
      <c r="J414" s="35"/>
    </row>
    <row r="415" spans="2:10" x14ac:dyDescent="0.25">
      <c r="B415" s="35"/>
      <c r="C415" s="35"/>
      <c r="D415" s="35"/>
      <c r="E415" s="106"/>
      <c r="F415" s="35"/>
      <c r="G415" s="393"/>
      <c r="H415" s="393"/>
      <c r="I415" s="373"/>
      <c r="J415" s="35"/>
    </row>
    <row r="416" spans="2:10" x14ac:dyDescent="0.25">
      <c r="B416" s="35"/>
      <c r="C416" s="35"/>
      <c r="D416" s="35"/>
      <c r="E416" s="106"/>
      <c r="F416" s="35"/>
      <c r="G416" s="393"/>
      <c r="H416" s="393"/>
      <c r="I416" s="373"/>
      <c r="J416" s="35"/>
    </row>
    <row r="417" spans="2:10" x14ac:dyDescent="0.25">
      <c r="B417" s="35"/>
      <c r="C417" s="35"/>
      <c r="D417" s="35"/>
      <c r="E417" s="106"/>
      <c r="F417" s="35"/>
      <c r="G417" s="393"/>
      <c r="H417" s="393"/>
      <c r="I417" s="373"/>
      <c r="J417" s="35"/>
    </row>
    <row r="418" spans="2:10" x14ac:dyDescent="0.25">
      <c r="B418" s="35"/>
      <c r="C418" s="35"/>
      <c r="D418" s="35"/>
      <c r="E418" s="106"/>
      <c r="F418" s="35"/>
      <c r="G418" s="393"/>
      <c r="H418" s="393"/>
      <c r="I418" s="373"/>
      <c r="J418" s="35"/>
    </row>
    <row r="419" spans="2:10" x14ac:dyDescent="0.25">
      <c r="B419" s="35"/>
      <c r="C419" s="35"/>
      <c r="D419" s="35"/>
      <c r="E419" s="106"/>
      <c r="F419" s="35"/>
      <c r="G419" s="393"/>
      <c r="H419" s="393"/>
      <c r="I419" s="373"/>
      <c r="J419" s="35"/>
    </row>
    <row r="420" spans="2:10" x14ac:dyDescent="0.25">
      <c r="B420" s="35"/>
      <c r="C420" s="35"/>
      <c r="D420" s="35"/>
      <c r="E420" s="106"/>
      <c r="F420" s="35"/>
      <c r="G420" s="393"/>
      <c r="H420" s="393"/>
      <c r="I420" s="373"/>
      <c r="J420" s="35"/>
    </row>
    <row r="421" spans="2:10" x14ac:dyDescent="0.25">
      <c r="B421" s="35"/>
      <c r="C421" s="35"/>
      <c r="D421" s="35"/>
      <c r="E421" s="106"/>
      <c r="F421" s="35"/>
      <c r="G421" s="393"/>
      <c r="H421" s="393"/>
      <c r="I421" s="373"/>
      <c r="J421" s="35"/>
    </row>
    <row r="422" spans="2:10" x14ac:dyDescent="0.25">
      <c r="B422" s="35"/>
      <c r="C422" s="35"/>
      <c r="D422" s="35"/>
      <c r="E422" s="106"/>
      <c r="F422" s="35"/>
      <c r="G422" s="393"/>
      <c r="H422" s="393"/>
      <c r="I422" s="373"/>
      <c r="J422" s="35"/>
    </row>
    <row r="423" spans="2:10" x14ac:dyDescent="0.25">
      <c r="B423" s="35"/>
      <c r="C423" s="35"/>
      <c r="D423" s="35"/>
      <c r="E423" s="106"/>
      <c r="F423" s="35"/>
      <c r="G423" s="393"/>
      <c r="H423" s="393"/>
      <c r="I423" s="373"/>
      <c r="J423" s="35"/>
    </row>
    <row r="424" spans="2:10" x14ac:dyDescent="0.25">
      <c r="B424" s="35"/>
      <c r="C424" s="35"/>
      <c r="D424" s="35"/>
      <c r="E424" s="106"/>
      <c r="F424" s="35"/>
      <c r="G424" s="393"/>
      <c r="H424" s="393"/>
      <c r="I424" s="373"/>
      <c r="J424" s="35"/>
    </row>
    <row r="425" spans="2:10" x14ac:dyDescent="0.25">
      <c r="B425" s="35"/>
      <c r="C425" s="35"/>
      <c r="D425" s="35"/>
      <c r="E425" s="106"/>
      <c r="F425" s="35"/>
      <c r="G425" s="393"/>
      <c r="H425" s="393"/>
      <c r="I425" s="373"/>
      <c r="J425" s="35"/>
    </row>
    <row r="426" spans="2:10" x14ac:dyDescent="0.25">
      <c r="B426" s="35"/>
      <c r="C426" s="35"/>
      <c r="D426" s="35"/>
      <c r="E426" s="106"/>
      <c r="F426" s="35"/>
      <c r="G426" s="393"/>
      <c r="H426" s="393"/>
      <c r="I426" s="373"/>
      <c r="J426" s="35"/>
    </row>
    <row r="427" spans="2:10" x14ac:dyDescent="0.25">
      <c r="B427" s="35"/>
      <c r="C427" s="35"/>
      <c r="D427" s="35"/>
      <c r="E427" s="106"/>
      <c r="F427" s="35"/>
      <c r="G427" s="393"/>
      <c r="H427" s="393"/>
      <c r="I427" s="373"/>
      <c r="J427" s="35"/>
    </row>
    <row r="428" spans="2:10" x14ac:dyDescent="0.25">
      <c r="B428" s="35"/>
      <c r="C428" s="35"/>
      <c r="D428" s="35"/>
      <c r="E428" s="106"/>
      <c r="F428" s="35"/>
      <c r="G428" s="393"/>
      <c r="H428" s="393"/>
      <c r="I428" s="373"/>
      <c r="J428" s="35"/>
    </row>
    <row r="429" spans="2:10" x14ac:dyDescent="0.25">
      <c r="B429" s="35"/>
      <c r="C429" s="35"/>
      <c r="D429" s="35"/>
      <c r="E429" s="106"/>
      <c r="F429" s="35"/>
      <c r="G429" s="393"/>
      <c r="H429" s="393"/>
      <c r="I429" s="373"/>
      <c r="J429" s="35"/>
    </row>
    <row r="430" spans="2:10" x14ac:dyDescent="0.25">
      <c r="B430" s="35"/>
      <c r="C430" s="35"/>
      <c r="D430" s="35"/>
      <c r="E430" s="106"/>
      <c r="F430" s="35"/>
      <c r="G430" s="393"/>
      <c r="H430" s="393"/>
      <c r="I430" s="373"/>
      <c r="J430" s="35"/>
    </row>
    <row r="431" spans="2:10" x14ac:dyDescent="0.25">
      <c r="B431" s="35"/>
      <c r="C431" s="35"/>
      <c r="D431" s="35"/>
      <c r="E431" s="106"/>
      <c r="F431" s="35"/>
      <c r="G431" s="393"/>
      <c r="H431" s="393"/>
      <c r="I431" s="373"/>
      <c r="J431" s="35"/>
    </row>
    <row r="432" spans="2:10" x14ac:dyDescent="0.25">
      <c r="B432" s="35"/>
      <c r="C432" s="35"/>
      <c r="D432" s="35"/>
      <c r="E432" s="106"/>
      <c r="F432" s="35"/>
      <c r="G432" s="393"/>
      <c r="H432" s="393"/>
      <c r="I432" s="373"/>
      <c r="J432" s="35"/>
    </row>
    <row r="433" spans="2:10" x14ac:dyDescent="0.25">
      <c r="B433" s="35"/>
      <c r="C433" s="35"/>
      <c r="D433" s="35"/>
      <c r="E433" s="106"/>
      <c r="F433" s="35"/>
      <c r="G433" s="393"/>
      <c r="H433" s="393"/>
      <c r="I433" s="373"/>
      <c r="J433" s="35"/>
    </row>
    <row r="434" spans="2:10" x14ac:dyDescent="0.25">
      <c r="B434" s="35"/>
      <c r="C434" s="35"/>
      <c r="D434" s="35"/>
      <c r="E434" s="106"/>
      <c r="F434" s="35"/>
      <c r="G434" s="393"/>
      <c r="H434" s="393"/>
      <c r="I434" s="373"/>
      <c r="J434" s="35"/>
    </row>
    <row r="435" spans="2:10" x14ac:dyDescent="0.25">
      <c r="B435" s="35"/>
      <c r="C435" s="35"/>
      <c r="D435" s="35"/>
      <c r="E435" s="106"/>
      <c r="F435" s="35"/>
      <c r="G435" s="393"/>
      <c r="H435" s="393"/>
      <c r="I435" s="373"/>
      <c r="J435" s="35"/>
    </row>
    <row r="436" spans="2:10" x14ac:dyDescent="0.25">
      <c r="B436" s="35"/>
      <c r="C436" s="35"/>
      <c r="D436" s="35"/>
      <c r="E436" s="106"/>
      <c r="F436" s="35"/>
      <c r="G436" s="393"/>
      <c r="H436" s="393"/>
      <c r="I436" s="373"/>
      <c r="J436" s="35"/>
    </row>
    <row r="437" spans="2:10" x14ac:dyDescent="0.25">
      <c r="B437" s="35"/>
      <c r="C437" s="35"/>
      <c r="D437" s="35"/>
      <c r="E437" s="106"/>
      <c r="F437" s="35"/>
      <c r="G437" s="393"/>
      <c r="H437" s="393"/>
      <c r="I437" s="373"/>
      <c r="J437" s="35"/>
    </row>
    <row r="438" spans="2:10" x14ac:dyDescent="0.25">
      <c r="B438" s="35"/>
      <c r="C438" s="35"/>
      <c r="D438" s="35"/>
      <c r="E438" s="106"/>
      <c r="F438" s="35"/>
      <c r="G438" s="393"/>
      <c r="H438" s="393"/>
      <c r="I438" s="373"/>
      <c r="J438" s="35"/>
    </row>
    <row r="439" spans="2:10" x14ac:dyDescent="0.25">
      <c r="B439" s="35"/>
      <c r="C439" s="35"/>
      <c r="D439" s="35"/>
      <c r="E439" s="106"/>
      <c r="F439" s="35"/>
      <c r="G439" s="393"/>
      <c r="H439" s="393"/>
      <c r="I439" s="373"/>
      <c r="J439" s="35"/>
    </row>
    <row r="440" spans="2:10" x14ac:dyDescent="0.25">
      <c r="B440" s="35"/>
      <c r="C440" s="35"/>
      <c r="D440" s="35"/>
      <c r="E440" s="106"/>
      <c r="F440" s="35"/>
      <c r="G440" s="393"/>
      <c r="H440" s="393"/>
      <c r="I440" s="373"/>
      <c r="J440" s="35"/>
    </row>
    <row r="441" spans="2:10" x14ac:dyDescent="0.25">
      <c r="B441" s="35"/>
      <c r="C441" s="35"/>
      <c r="D441" s="35"/>
      <c r="E441" s="106"/>
      <c r="F441" s="35"/>
      <c r="G441" s="393"/>
      <c r="H441" s="393"/>
      <c r="I441" s="373"/>
      <c r="J441" s="35"/>
    </row>
    <row r="442" spans="2:10" x14ac:dyDescent="0.25">
      <c r="B442" s="35"/>
      <c r="C442" s="35"/>
      <c r="D442" s="35"/>
      <c r="E442" s="106"/>
      <c r="F442" s="35"/>
      <c r="G442" s="393"/>
      <c r="H442" s="393"/>
      <c r="I442" s="373"/>
      <c r="J442" s="35"/>
    </row>
    <row r="443" spans="2:10" x14ac:dyDescent="0.25">
      <c r="B443" s="35"/>
      <c r="C443" s="35"/>
      <c r="D443" s="35"/>
      <c r="E443" s="106"/>
      <c r="F443" s="35"/>
      <c r="G443" s="393"/>
      <c r="H443" s="393"/>
      <c r="I443" s="373"/>
      <c r="J443" s="35"/>
    </row>
    <row r="444" spans="2:10" x14ac:dyDescent="0.25">
      <c r="B444" s="35"/>
      <c r="C444" s="35"/>
      <c r="D444" s="35"/>
      <c r="E444" s="106"/>
      <c r="F444" s="35"/>
      <c r="G444" s="393"/>
      <c r="H444" s="393"/>
      <c r="I444" s="373"/>
      <c r="J444" s="35"/>
    </row>
    <row r="445" spans="2:10" x14ac:dyDescent="0.25">
      <c r="B445" s="35"/>
      <c r="C445" s="35"/>
      <c r="D445" s="35"/>
      <c r="E445" s="106"/>
      <c r="F445" s="35"/>
      <c r="G445" s="393"/>
      <c r="H445" s="393"/>
      <c r="I445" s="373"/>
      <c r="J445" s="35"/>
    </row>
    <row r="446" spans="2:10" x14ac:dyDescent="0.25">
      <c r="B446" s="35"/>
      <c r="C446" s="35"/>
      <c r="D446" s="35"/>
      <c r="E446" s="106"/>
      <c r="F446" s="35"/>
      <c r="G446" s="393"/>
      <c r="H446" s="393"/>
      <c r="I446" s="373"/>
      <c r="J446" s="35"/>
    </row>
    <row r="447" spans="2:10" x14ac:dyDescent="0.25">
      <c r="B447" s="35"/>
      <c r="C447" s="35"/>
      <c r="D447" s="35"/>
      <c r="E447" s="106"/>
      <c r="F447" s="35"/>
      <c r="G447" s="393"/>
      <c r="H447" s="393"/>
      <c r="I447" s="373"/>
      <c r="J447" s="35"/>
    </row>
    <row r="448" spans="2:10" x14ac:dyDescent="0.25">
      <c r="B448" s="35"/>
      <c r="C448" s="35"/>
      <c r="D448" s="35"/>
      <c r="E448" s="106"/>
      <c r="F448" s="35"/>
      <c r="G448" s="393"/>
      <c r="H448" s="393"/>
      <c r="I448" s="373"/>
      <c r="J448" s="35"/>
    </row>
    <row r="449" spans="2:10" x14ac:dyDescent="0.25">
      <c r="B449" s="35"/>
      <c r="C449" s="35"/>
      <c r="D449" s="35"/>
      <c r="E449" s="106"/>
      <c r="F449" s="35"/>
      <c r="G449" s="393"/>
      <c r="H449" s="393"/>
      <c r="I449" s="373"/>
      <c r="J449" s="35"/>
    </row>
    <row r="450" spans="2:10" x14ac:dyDescent="0.25">
      <c r="B450" s="35"/>
      <c r="C450" s="35"/>
      <c r="D450" s="35"/>
      <c r="E450" s="106"/>
      <c r="F450" s="35"/>
      <c r="G450" s="393"/>
      <c r="H450" s="393"/>
      <c r="I450" s="373"/>
      <c r="J450" s="35"/>
    </row>
    <row r="451" spans="2:10" x14ac:dyDescent="0.25">
      <c r="B451" s="35"/>
      <c r="C451" s="35"/>
      <c r="D451" s="35"/>
      <c r="E451" s="106"/>
      <c r="F451" s="35"/>
      <c r="G451" s="393"/>
      <c r="H451" s="393"/>
      <c r="I451" s="373"/>
      <c r="J451" s="35"/>
    </row>
    <row r="452" spans="2:10" x14ac:dyDescent="0.25">
      <c r="B452" s="35"/>
      <c r="C452" s="35"/>
      <c r="D452" s="35"/>
      <c r="E452" s="106"/>
      <c r="F452" s="35"/>
      <c r="G452" s="393"/>
      <c r="H452" s="393"/>
      <c r="I452" s="373"/>
      <c r="J452" s="35"/>
    </row>
    <row r="453" spans="2:10" x14ac:dyDescent="0.25">
      <c r="B453" s="35"/>
      <c r="C453" s="35"/>
      <c r="D453" s="35"/>
      <c r="E453" s="106"/>
      <c r="F453" s="35"/>
      <c r="G453" s="393"/>
      <c r="H453" s="393"/>
      <c r="I453" s="373"/>
      <c r="J453" s="35"/>
    </row>
    <row r="454" spans="2:10" x14ac:dyDescent="0.25">
      <c r="B454" s="35"/>
      <c r="C454" s="35"/>
      <c r="D454" s="35"/>
      <c r="E454" s="106"/>
      <c r="F454" s="35"/>
      <c r="G454" s="393"/>
      <c r="H454" s="393"/>
      <c r="I454" s="373"/>
      <c r="J454" s="35"/>
    </row>
    <row r="455" spans="2:10" x14ac:dyDescent="0.25">
      <c r="B455" s="35"/>
      <c r="C455" s="35"/>
      <c r="D455" s="35"/>
      <c r="E455" s="106"/>
      <c r="F455" s="35"/>
      <c r="G455" s="393"/>
      <c r="H455" s="393"/>
      <c r="I455" s="373"/>
      <c r="J455" s="35"/>
    </row>
    <row r="456" spans="2:10" x14ac:dyDescent="0.25">
      <c r="B456" s="35"/>
      <c r="C456" s="35"/>
      <c r="D456" s="35"/>
      <c r="E456" s="106"/>
      <c r="F456" s="35"/>
      <c r="G456" s="393"/>
      <c r="H456" s="393"/>
      <c r="I456" s="373"/>
      <c r="J456" s="35"/>
    </row>
    <row r="457" spans="2:10" x14ac:dyDescent="0.25">
      <c r="B457" s="35"/>
      <c r="C457" s="35"/>
      <c r="D457" s="35"/>
      <c r="E457" s="106"/>
      <c r="F457" s="35"/>
      <c r="G457" s="393"/>
      <c r="H457" s="393"/>
      <c r="I457" s="373"/>
      <c r="J457" s="35"/>
    </row>
    <row r="458" spans="2:10" x14ac:dyDescent="0.25">
      <c r="B458" s="35"/>
      <c r="C458" s="35"/>
      <c r="D458" s="35"/>
      <c r="E458" s="106"/>
      <c r="F458" s="35"/>
      <c r="G458" s="393"/>
      <c r="H458" s="393"/>
      <c r="I458" s="373"/>
      <c r="J458" s="35"/>
    </row>
    <row r="459" spans="2:10" x14ac:dyDescent="0.25">
      <c r="B459" s="35"/>
      <c r="C459" s="35"/>
      <c r="D459" s="35"/>
      <c r="E459" s="106"/>
      <c r="F459" s="35"/>
      <c r="G459" s="393"/>
      <c r="H459" s="393"/>
      <c r="I459" s="373"/>
      <c r="J459" s="35"/>
    </row>
    <row r="460" spans="2:10" x14ac:dyDescent="0.25">
      <c r="B460" s="35"/>
      <c r="C460" s="35"/>
      <c r="D460" s="35"/>
      <c r="E460" s="106"/>
      <c r="F460" s="35"/>
      <c r="G460" s="393"/>
      <c r="H460" s="393"/>
      <c r="I460" s="373"/>
      <c r="J460" s="35"/>
    </row>
    <row r="461" spans="2:10" x14ac:dyDescent="0.25">
      <c r="B461" s="35"/>
      <c r="C461" s="35"/>
      <c r="D461" s="35"/>
      <c r="E461" s="106"/>
      <c r="F461" s="35"/>
      <c r="G461" s="393"/>
      <c r="H461" s="393"/>
      <c r="I461" s="373"/>
      <c r="J461" s="35"/>
    </row>
    <row r="462" spans="2:10" x14ac:dyDescent="0.25">
      <c r="B462" s="35"/>
      <c r="C462" s="35"/>
      <c r="D462" s="35"/>
      <c r="E462" s="106"/>
      <c r="F462" s="35"/>
      <c r="G462" s="393"/>
      <c r="H462" s="393"/>
      <c r="I462" s="373"/>
      <c r="J462" s="35"/>
    </row>
    <row r="463" spans="2:10" x14ac:dyDescent="0.25">
      <c r="B463" s="35"/>
      <c r="C463" s="35"/>
      <c r="D463" s="35"/>
      <c r="E463" s="106"/>
      <c r="F463" s="35"/>
      <c r="G463" s="393"/>
      <c r="H463" s="393"/>
      <c r="I463" s="373"/>
      <c r="J463" s="35"/>
    </row>
    <row r="464" spans="2:10" x14ac:dyDescent="0.25">
      <c r="B464" s="35"/>
      <c r="C464" s="35"/>
      <c r="D464" s="35"/>
      <c r="E464" s="106"/>
      <c r="F464" s="35"/>
      <c r="G464" s="393"/>
      <c r="H464" s="393"/>
      <c r="I464" s="373"/>
      <c r="J464" s="35"/>
    </row>
    <row r="465" spans="2:10" x14ac:dyDescent="0.25">
      <c r="B465" s="35"/>
      <c r="C465" s="35"/>
      <c r="D465" s="35"/>
      <c r="E465" s="106"/>
      <c r="F465" s="35"/>
      <c r="G465" s="393"/>
      <c r="H465" s="393"/>
      <c r="I465" s="373"/>
      <c r="J465" s="35"/>
    </row>
    <row r="466" spans="2:10" x14ac:dyDescent="0.25">
      <c r="B466" s="35"/>
      <c r="C466" s="35"/>
      <c r="D466" s="35"/>
      <c r="E466" s="106"/>
      <c r="F466" s="35"/>
      <c r="G466" s="393"/>
      <c r="H466" s="393"/>
      <c r="I466" s="373"/>
      <c r="J466" s="35"/>
    </row>
    <row r="467" spans="2:10" x14ac:dyDescent="0.25">
      <c r="B467" s="35"/>
      <c r="C467" s="35"/>
      <c r="D467" s="35"/>
      <c r="E467" s="106"/>
      <c r="F467" s="35"/>
      <c r="G467" s="393"/>
      <c r="H467" s="393"/>
      <c r="I467" s="373"/>
      <c r="J467" s="35"/>
    </row>
    <row r="468" spans="2:10" x14ac:dyDescent="0.25">
      <c r="B468" s="35"/>
      <c r="C468" s="35"/>
      <c r="D468" s="35"/>
      <c r="E468" s="106"/>
      <c r="F468" s="35"/>
      <c r="G468" s="393"/>
      <c r="H468" s="393"/>
      <c r="I468" s="373"/>
      <c r="J468" s="35"/>
    </row>
    <row r="469" spans="2:10" x14ac:dyDescent="0.25">
      <c r="B469" s="35"/>
      <c r="C469" s="35"/>
      <c r="D469" s="35"/>
      <c r="E469" s="106"/>
      <c r="F469" s="35"/>
      <c r="G469" s="393"/>
      <c r="H469" s="393"/>
      <c r="I469" s="373"/>
      <c r="J469" s="35"/>
    </row>
    <row r="470" spans="2:10" x14ac:dyDescent="0.25">
      <c r="B470" s="35"/>
      <c r="C470" s="35"/>
      <c r="D470" s="35"/>
      <c r="E470" s="106"/>
      <c r="F470" s="35"/>
      <c r="G470" s="393"/>
      <c r="H470" s="393"/>
      <c r="I470" s="373"/>
      <c r="J470" s="35"/>
    </row>
    <row r="471" spans="2:10" x14ac:dyDescent="0.25">
      <c r="B471" s="35"/>
      <c r="C471" s="35"/>
      <c r="D471" s="35"/>
      <c r="E471" s="106"/>
      <c r="F471" s="35"/>
      <c r="G471" s="393"/>
      <c r="H471" s="393"/>
      <c r="I471" s="373"/>
      <c r="J471" s="35"/>
    </row>
    <row r="472" spans="2:10" x14ac:dyDescent="0.25">
      <c r="B472" s="35"/>
      <c r="C472" s="35"/>
      <c r="D472" s="35"/>
      <c r="E472" s="106"/>
      <c r="F472" s="35"/>
      <c r="G472" s="393"/>
      <c r="H472" s="393"/>
      <c r="I472" s="373"/>
      <c r="J472" s="35"/>
    </row>
    <row r="473" spans="2:10" x14ac:dyDescent="0.25">
      <c r="B473" s="35"/>
      <c r="C473" s="35"/>
      <c r="D473" s="35"/>
      <c r="E473" s="106"/>
      <c r="F473" s="35"/>
      <c r="G473" s="393"/>
      <c r="H473" s="393"/>
      <c r="I473" s="373"/>
      <c r="J473" s="35"/>
    </row>
    <row r="474" spans="2:10" x14ac:dyDescent="0.25">
      <c r="B474" s="35"/>
      <c r="C474" s="35"/>
      <c r="D474" s="35"/>
      <c r="E474" s="106"/>
      <c r="F474" s="35"/>
      <c r="G474" s="393"/>
      <c r="H474" s="393"/>
      <c r="I474" s="373"/>
      <c r="J474" s="35"/>
    </row>
    <row r="475" spans="2:10" x14ac:dyDescent="0.25">
      <c r="B475" s="35"/>
      <c r="C475" s="35"/>
      <c r="D475" s="35"/>
      <c r="E475" s="106"/>
      <c r="F475" s="35"/>
      <c r="G475" s="393"/>
      <c r="H475" s="393"/>
      <c r="I475" s="373"/>
      <c r="J475" s="35"/>
    </row>
    <row r="476" spans="2:10" x14ac:dyDescent="0.25">
      <c r="B476" s="35"/>
      <c r="C476" s="35"/>
      <c r="D476" s="35"/>
      <c r="E476" s="106"/>
      <c r="F476" s="35"/>
      <c r="G476" s="393"/>
      <c r="H476" s="393"/>
      <c r="I476" s="373"/>
      <c r="J476" s="35"/>
    </row>
    <row r="477" spans="2:10" x14ac:dyDescent="0.25">
      <c r="B477" s="35"/>
      <c r="C477" s="35"/>
      <c r="D477" s="35"/>
      <c r="E477" s="106"/>
      <c r="F477" s="35"/>
      <c r="G477" s="393"/>
      <c r="H477" s="393"/>
      <c r="I477" s="373"/>
      <c r="J477" s="35"/>
    </row>
    <row r="478" spans="2:10" x14ac:dyDescent="0.25">
      <c r="B478" s="35"/>
      <c r="C478" s="35"/>
      <c r="D478" s="35"/>
      <c r="E478" s="106"/>
      <c r="F478" s="35"/>
      <c r="G478" s="393"/>
      <c r="H478" s="393"/>
      <c r="I478" s="373"/>
      <c r="J478" s="35"/>
    </row>
    <row r="479" spans="2:10" x14ac:dyDescent="0.25">
      <c r="B479" s="35"/>
      <c r="C479" s="35"/>
      <c r="D479" s="35"/>
      <c r="E479" s="106"/>
      <c r="F479" s="35"/>
      <c r="G479" s="393"/>
      <c r="H479" s="393"/>
      <c r="I479" s="373"/>
      <c r="J479" s="35"/>
    </row>
    <row r="480" spans="2:10" x14ac:dyDescent="0.25">
      <c r="B480" s="35"/>
      <c r="C480" s="35"/>
      <c r="D480" s="35"/>
      <c r="E480" s="106"/>
      <c r="F480" s="35"/>
      <c r="G480" s="393"/>
      <c r="H480" s="393"/>
      <c r="I480" s="373"/>
      <c r="J480" s="35"/>
    </row>
    <row r="481" spans="2:10" x14ac:dyDescent="0.25">
      <c r="B481" s="35"/>
      <c r="C481" s="35"/>
      <c r="D481" s="35"/>
      <c r="E481" s="106"/>
      <c r="F481" s="35"/>
      <c r="G481" s="393"/>
      <c r="H481" s="393"/>
      <c r="I481" s="373"/>
      <c r="J481" s="35"/>
    </row>
    <row r="482" spans="2:10" x14ac:dyDescent="0.25">
      <c r="B482" s="35"/>
      <c r="C482" s="35"/>
      <c r="D482" s="35"/>
      <c r="E482" s="106"/>
      <c r="F482" s="35"/>
      <c r="G482" s="393"/>
      <c r="H482" s="393"/>
      <c r="I482" s="373"/>
      <c r="J482" s="35"/>
    </row>
    <row r="483" spans="2:10" x14ac:dyDescent="0.25">
      <c r="B483" s="35"/>
      <c r="C483" s="35"/>
      <c r="D483" s="35"/>
      <c r="E483" s="106"/>
      <c r="F483" s="35"/>
      <c r="G483" s="393"/>
      <c r="H483" s="393"/>
      <c r="I483" s="373"/>
      <c r="J483" s="35"/>
    </row>
    <row r="484" spans="2:10" x14ac:dyDescent="0.25">
      <c r="B484" s="35"/>
      <c r="C484" s="35"/>
      <c r="D484" s="35"/>
      <c r="E484" s="106"/>
      <c r="F484" s="35"/>
      <c r="G484" s="393"/>
      <c r="H484" s="393"/>
      <c r="I484" s="373"/>
      <c r="J484" s="35"/>
    </row>
    <row r="485" spans="2:10" x14ac:dyDescent="0.25">
      <c r="B485" s="35"/>
      <c r="C485" s="35"/>
      <c r="D485" s="35"/>
      <c r="E485" s="106"/>
      <c r="F485" s="35"/>
      <c r="G485" s="393"/>
      <c r="H485" s="393"/>
      <c r="I485" s="373"/>
      <c r="J485" s="35"/>
    </row>
    <row r="486" spans="2:10" x14ac:dyDescent="0.25">
      <c r="B486" s="35"/>
      <c r="C486" s="35"/>
      <c r="D486" s="35"/>
      <c r="E486" s="106"/>
      <c r="F486" s="35"/>
      <c r="G486" s="393"/>
      <c r="H486" s="393"/>
      <c r="I486" s="373"/>
      <c r="J486" s="35"/>
    </row>
    <row r="487" spans="2:10" x14ac:dyDescent="0.25">
      <c r="B487" s="35"/>
      <c r="C487" s="35"/>
      <c r="D487" s="35"/>
      <c r="E487" s="106"/>
      <c r="F487" s="35"/>
      <c r="G487" s="393"/>
      <c r="H487" s="393"/>
      <c r="I487" s="373"/>
      <c r="J487" s="35"/>
    </row>
    <row r="488" spans="2:10" x14ac:dyDescent="0.25">
      <c r="B488" s="35"/>
      <c r="C488" s="35"/>
      <c r="D488" s="35"/>
      <c r="E488" s="106"/>
      <c r="F488" s="35"/>
      <c r="G488" s="393"/>
      <c r="H488" s="393"/>
      <c r="I488" s="373"/>
      <c r="J488" s="35"/>
    </row>
    <row r="489" spans="2:10" x14ac:dyDescent="0.25">
      <c r="B489" s="35"/>
      <c r="C489" s="35"/>
      <c r="D489" s="35"/>
      <c r="E489" s="106"/>
      <c r="F489" s="35"/>
      <c r="G489" s="393"/>
      <c r="H489" s="393"/>
      <c r="I489" s="373"/>
      <c r="J489" s="35"/>
    </row>
    <row r="490" spans="2:10" x14ac:dyDescent="0.25">
      <c r="B490" s="35"/>
      <c r="C490" s="35"/>
      <c r="D490" s="35"/>
      <c r="E490" s="106"/>
      <c r="F490" s="35"/>
      <c r="G490" s="393"/>
      <c r="H490" s="393"/>
      <c r="I490" s="373"/>
      <c r="J490" s="35"/>
    </row>
    <row r="491" spans="2:10" x14ac:dyDescent="0.25">
      <c r="B491" s="35"/>
      <c r="C491" s="35"/>
      <c r="D491" s="35"/>
      <c r="E491" s="106"/>
      <c r="F491" s="35"/>
      <c r="G491" s="393"/>
      <c r="H491" s="393"/>
      <c r="I491" s="373"/>
      <c r="J491" s="35"/>
    </row>
    <row r="492" spans="2:10" x14ac:dyDescent="0.25">
      <c r="B492" s="35"/>
      <c r="C492" s="35"/>
      <c r="D492" s="35"/>
      <c r="E492" s="106"/>
      <c r="F492" s="35"/>
      <c r="G492" s="393"/>
      <c r="H492" s="393"/>
      <c r="I492" s="373"/>
      <c r="J492" s="35"/>
    </row>
    <row r="493" spans="2:10" x14ac:dyDescent="0.25">
      <c r="B493" s="35"/>
      <c r="C493" s="35"/>
      <c r="D493" s="35"/>
      <c r="E493" s="106"/>
      <c r="F493" s="35"/>
      <c r="G493" s="393"/>
      <c r="H493" s="393"/>
      <c r="I493" s="373"/>
      <c r="J493" s="35"/>
    </row>
    <row r="494" spans="2:10" x14ac:dyDescent="0.25">
      <c r="B494" s="35"/>
      <c r="C494" s="35"/>
      <c r="D494" s="35"/>
      <c r="E494" s="106"/>
      <c r="F494" s="35"/>
      <c r="G494" s="393"/>
      <c r="H494" s="393"/>
      <c r="I494" s="373"/>
      <c r="J494" s="35"/>
    </row>
    <row r="495" spans="2:10" x14ac:dyDescent="0.25">
      <c r="B495" s="35"/>
      <c r="C495" s="35"/>
      <c r="D495" s="35"/>
      <c r="E495" s="106"/>
      <c r="F495" s="35"/>
      <c r="G495" s="393"/>
      <c r="H495" s="393"/>
      <c r="I495" s="373"/>
      <c r="J495" s="35"/>
    </row>
    <row r="496" spans="2:10" x14ac:dyDescent="0.25">
      <c r="B496" s="35"/>
      <c r="C496" s="35"/>
      <c r="D496" s="35"/>
      <c r="E496" s="106"/>
      <c r="F496" s="35"/>
      <c r="G496" s="393"/>
      <c r="H496" s="393"/>
      <c r="I496" s="373"/>
      <c r="J496" s="35"/>
    </row>
    <row r="497" spans="2:10" x14ac:dyDescent="0.25">
      <c r="B497" s="35"/>
      <c r="C497" s="35"/>
      <c r="D497" s="35"/>
      <c r="E497" s="106"/>
      <c r="F497" s="35"/>
      <c r="G497" s="393"/>
      <c r="H497" s="393"/>
      <c r="I497" s="373"/>
      <c r="J497" s="35"/>
    </row>
    <row r="498" spans="2:10" x14ac:dyDescent="0.25">
      <c r="B498" s="35"/>
      <c r="C498" s="35"/>
      <c r="D498" s="35"/>
      <c r="E498" s="106"/>
      <c r="F498" s="35"/>
      <c r="G498" s="393"/>
      <c r="H498" s="393"/>
      <c r="I498" s="373"/>
      <c r="J498" s="35"/>
    </row>
    <row r="499" spans="2:10" x14ac:dyDescent="0.25">
      <c r="B499" s="35"/>
      <c r="C499" s="35"/>
      <c r="D499" s="35"/>
      <c r="E499" s="106"/>
      <c r="F499" s="35"/>
      <c r="G499" s="393"/>
      <c r="H499" s="393"/>
      <c r="I499" s="373"/>
      <c r="J499" s="35"/>
    </row>
    <row r="500" spans="2:10" x14ac:dyDescent="0.25">
      <c r="B500" s="35"/>
      <c r="C500" s="35"/>
      <c r="D500" s="35"/>
      <c r="E500" s="106"/>
      <c r="F500" s="35"/>
      <c r="G500" s="393"/>
      <c r="H500" s="393"/>
      <c r="I500" s="373"/>
      <c r="J500" s="35"/>
    </row>
    <row r="501" spans="2:10" x14ac:dyDescent="0.25">
      <c r="B501" s="35"/>
      <c r="C501" s="35"/>
      <c r="D501" s="35"/>
      <c r="E501" s="106"/>
      <c r="F501" s="35"/>
      <c r="G501" s="393"/>
      <c r="H501" s="393"/>
      <c r="I501" s="373"/>
      <c r="J501" s="35"/>
    </row>
    <row r="502" spans="2:10" x14ac:dyDescent="0.25">
      <c r="B502" s="35"/>
      <c r="C502" s="35"/>
      <c r="D502" s="35"/>
      <c r="E502" s="106"/>
      <c r="F502" s="35"/>
      <c r="G502" s="393"/>
      <c r="H502" s="393"/>
      <c r="I502" s="373"/>
      <c r="J502" s="35"/>
    </row>
    <row r="503" spans="2:10" x14ac:dyDescent="0.25">
      <c r="B503" s="35"/>
      <c r="C503" s="35"/>
      <c r="D503" s="35"/>
      <c r="E503" s="106"/>
      <c r="F503" s="35"/>
      <c r="G503" s="393"/>
      <c r="H503" s="393"/>
      <c r="I503" s="373"/>
      <c r="J503" s="35"/>
    </row>
    <row r="504" spans="2:10" x14ac:dyDescent="0.25">
      <c r="B504" s="35"/>
      <c r="C504" s="35"/>
      <c r="D504" s="35"/>
      <c r="E504" s="106"/>
      <c r="F504" s="35"/>
      <c r="G504" s="393"/>
      <c r="H504" s="393"/>
      <c r="I504" s="373"/>
      <c r="J504" s="35"/>
    </row>
    <row r="505" spans="2:10" x14ac:dyDescent="0.25">
      <c r="B505" s="35"/>
      <c r="C505" s="35"/>
      <c r="D505" s="35"/>
      <c r="E505" s="106"/>
      <c r="F505" s="35"/>
      <c r="G505" s="393"/>
      <c r="H505" s="393"/>
      <c r="I505" s="373"/>
      <c r="J505" s="35"/>
    </row>
    <row r="506" spans="2:10" x14ac:dyDescent="0.25">
      <c r="B506" s="35"/>
      <c r="C506" s="35"/>
      <c r="D506" s="35"/>
      <c r="E506" s="106"/>
      <c r="F506" s="35"/>
      <c r="G506" s="393"/>
      <c r="H506" s="393"/>
      <c r="I506" s="373"/>
      <c r="J506" s="35"/>
    </row>
    <row r="507" spans="2:10" x14ac:dyDescent="0.25">
      <c r="B507" s="35"/>
      <c r="C507" s="35"/>
      <c r="D507" s="35"/>
      <c r="E507" s="106"/>
      <c r="F507" s="35"/>
      <c r="G507" s="393"/>
      <c r="H507" s="393"/>
      <c r="I507" s="373"/>
      <c r="J507" s="35"/>
    </row>
    <row r="508" spans="2:10" x14ac:dyDescent="0.25">
      <c r="B508" s="35"/>
      <c r="C508" s="35"/>
      <c r="D508" s="35"/>
      <c r="E508" s="106"/>
      <c r="F508" s="35"/>
      <c r="G508" s="393"/>
      <c r="H508" s="393"/>
      <c r="I508" s="373"/>
      <c r="J508" s="35"/>
    </row>
    <row r="509" spans="2:10" x14ac:dyDescent="0.25">
      <c r="B509" s="35"/>
      <c r="C509" s="35"/>
      <c r="D509" s="35"/>
      <c r="E509" s="106"/>
      <c r="F509" s="35"/>
      <c r="G509" s="393"/>
      <c r="H509" s="393"/>
      <c r="I509" s="373"/>
      <c r="J509" s="35"/>
    </row>
    <row r="510" spans="2:10" x14ac:dyDescent="0.25">
      <c r="B510" s="35"/>
      <c r="C510" s="35"/>
      <c r="D510" s="35"/>
      <c r="E510" s="106"/>
      <c r="F510" s="35"/>
      <c r="G510" s="393"/>
      <c r="H510" s="393"/>
      <c r="I510" s="373"/>
      <c r="J510" s="35"/>
    </row>
    <row r="511" spans="2:10" x14ac:dyDescent="0.25">
      <c r="B511" s="35"/>
      <c r="C511" s="35"/>
      <c r="D511" s="35"/>
      <c r="E511" s="106"/>
      <c r="F511" s="35"/>
      <c r="G511" s="393"/>
      <c r="H511" s="393"/>
      <c r="I511" s="373"/>
      <c r="J511" s="35"/>
    </row>
    <row r="512" spans="2:10" x14ac:dyDescent="0.25">
      <c r="B512" s="35"/>
      <c r="C512" s="35"/>
      <c r="D512" s="35"/>
      <c r="E512" s="106"/>
      <c r="F512" s="35"/>
      <c r="G512" s="393"/>
      <c r="H512" s="393"/>
      <c r="I512" s="373"/>
      <c r="J512" s="35"/>
    </row>
    <row r="513" spans="2:10" x14ac:dyDescent="0.25">
      <c r="B513" s="35"/>
      <c r="C513" s="35"/>
      <c r="D513" s="35"/>
      <c r="E513" s="106"/>
      <c r="F513" s="35"/>
      <c r="G513" s="393"/>
      <c r="H513" s="393"/>
      <c r="I513" s="373"/>
      <c r="J513" s="35"/>
    </row>
    <row r="514" spans="2:10" x14ac:dyDescent="0.25">
      <c r="B514" s="35"/>
      <c r="C514" s="35"/>
      <c r="D514" s="35"/>
      <c r="E514" s="106"/>
      <c r="F514" s="35"/>
      <c r="G514" s="393"/>
      <c r="H514" s="393"/>
      <c r="I514" s="373"/>
      <c r="J514" s="35"/>
    </row>
    <row r="515" spans="2:10" x14ac:dyDescent="0.25">
      <c r="B515" s="35"/>
      <c r="C515" s="35"/>
      <c r="D515" s="35"/>
      <c r="E515" s="106"/>
      <c r="F515" s="35"/>
      <c r="G515" s="393"/>
      <c r="H515" s="393"/>
      <c r="I515" s="373"/>
      <c r="J515" s="35"/>
    </row>
    <row r="516" spans="2:10" x14ac:dyDescent="0.25">
      <c r="B516" s="35"/>
      <c r="C516" s="35"/>
      <c r="D516" s="35"/>
      <c r="E516" s="106"/>
      <c r="F516" s="35"/>
      <c r="G516" s="393"/>
      <c r="H516" s="393"/>
      <c r="I516" s="373"/>
      <c r="J516" s="35"/>
    </row>
    <row r="517" spans="2:10" x14ac:dyDescent="0.25">
      <c r="B517" s="35"/>
      <c r="C517" s="35"/>
      <c r="D517" s="35"/>
      <c r="E517" s="106"/>
      <c r="F517" s="35"/>
      <c r="G517" s="393"/>
      <c r="H517" s="393"/>
      <c r="I517" s="373"/>
      <c r="J517" s="35"/>
    </row>
    <row r="518" spans="2:10" x14ac:dyDescent="0.25">
      <c r="B518" s="35"/>
      <c r="C518" s="35"/>
      <c r="D518" s="35"/>
      <c r="E518" s="106"/>
      <c r="F518" s="35"/>
      <c r="G518" s="393"/>
      <c r="H518" s="393"/>
      <c r="I518" s="373"/>
      <c r="J518" s="35"/>
    </row>
    <row r="519" spans="2:10" x14ac:dyDescent="0.25">
      <c r="B519" s="35"/>
      <c r="C519" s="35"/>
      <c r="D519" s="35"/>
      <c r="E519" s="106"/>
      <c r="F519" s="35"/>
      <c r="G519" s="393"/>
      <c r="H519" s="393"/>
      <c r="I519" s="373"/>
      <c r="J519" s="35"/>
    </row>
    <row r="520" spans="2:10" x14ac:dyDescent="0.25">
      <c r="B520" s="35"/>
      <c r="C520" s="35"/>
      <c r="D520" s="35"/>
      <c r="E520" s="106"/>
      <c r="F520" s="35"/>
      <c r="G520" s="393"/>
      <c r="H520" s="393"/>
      <c r="I520" s="373"/>
      <c r="J520" s="35"/>
    </row>
    <row r="521" spans="2:10" x14ac:dyDescent="0.25">
      <c r="B521" s="35"/>
      <c r="C521" s="35"/>
      <c r="D521" s="35"/>
      <c r="E521" s="106"/>
      <c r="F521" s="35"/>
      <c r="G521" s="393"/>
      <c r="H521" s="393"/>
      <c r="I521" s="373"/>
      <c r="J521" s="35"/>
    </row>
    <row r="522" spans="2:10" x14ac:dyDescent="0.25">
      <c r="B522" s="35"/>
      <c r="C522" s="35"/>
      <c r="D522" s="35"/>
      <c r="E522" s="106"/>
      <c r="F522" s="35"/>
      <c r="G522" s="393"/>
      <c r="H522" s="393"/>
      <c r="I522" s="373"/>
      <c r="J522" s="35"/>
    </row>
    <row r="523" spans="2:10" x14ac:dyDescent="0.25">
      <c r="B523" s="35"/>
      <c r="C523" s="35"/>
      <c r="D523" s="35"/>
      <c r="E523" s="106"/>
      <c r="F523" s="35"/>
      <c r="G523" s="393"/>
      <c r="H523" s="393"/>
      <c r="I523" s="373"/>
      <c r="J523" s="35"/>
    </row>
    <row r="524" spans="2:10" x14ac:dyDescent="0.25">
      <c r="B524" s="35"/>
      <c r="C524" s="35"/>
      <c r="D524" s="35"/>
      <c r="E524" s="106"/>
      <c r="F524" s="35"/>
      <c r="G524" s="393"/>
      <c r="H524" s="393"/>
      <c r="I524" s="373"/>
      <c r="J524" s="35"/>
    </row>
    <row r="525" spans="2:10" x14ac:dyDescent="0.25">
      <c r="B525" s="35"/>
      <c r="C525" s="35"/>
      <c r="D525" s="35"/>
      <c r="E525" s="106"/>
      <c r="F525" s="35"/>
      <c r="G525" s="393"/>
      <c r="H525" s="393"/>
      <c r="I525" s="373"/>
      <c r="J525" s="35"/>
    </row>
    <row r="526" spans="2:10" x14ac:dyDescent="0.25">
      <c r="B526" s="35"/>
      <c r="C526" s="35"/>
      <c r="D526" s="35"/>
      <c r="E526" s="106"/>
      <c r="F526" s="35"/>
      <c r="G526" s="393"/>
      <c r="H526" s="393"/>
      <c r="I526" s="373"/>
      <c r="J526" s="35"/>
    </row>
    <row r="527" spans="2:10" x14ac:dyDescent="0.25">
      <c r="B527" s="35"/>
      <c r="C527" s="35"/>
      <c r="D527" s="35"/>
      <c r="E527" s="106"/>
      <c r="F527" s="35"/>
      <c r="G527" s="393"/>
      <c r="H527" s="393"/>
      <c r="I527" s="373"/>
      <c r="J527" s="35"/>
    </row>
    <row r="528" spans="2:10" x14ac:dyDescent="0.25">
      <c r="B528" s="35"/>
      <c r="C528" s="35"/>
      <c r="D528" s="35"/>
      <c r="E528" s="106"/>
      <c r="F528" s="35"/>
      <c r="G528" s="393"/>
      <c r="H528" s="393"/>
      <c r="I528" s="373"/>
      <c r="J528" s="35"/>
    </row>
    <row r="529" spans="2:10" x14ac:dyDescent="0.25">
      <c r="B529" s="35"/>
      <c r="C529" s="35"/>
      <c r="D529" s="35"/>
      <c r="E529" s="106"/>
      <c r="F529" s="35"/>
      <c r="G529" s="393"/>
      <c r="H529" s="393"/>
      <c r="I529" s="373"/>
      <c r="J529" s="35"/>
    </row>
    <row r="530" spans="2:10" x14ac:dyDescent="0.25">
      <c r="B530" s="35"/>
      <c r="C530" s="35"/>
      <c r="D530" s="35"/>
      <c r="E530" s="106"/>
      <c r="F530" s="35"/>
      <c r="G530" s="393"/>
      <c r="H530" s="393"/>
      <c r="I530" s="373"/>
      <c r="J530" s="35"/>
    </row>
    <row r="531" spans="2:10" x14ac:dyDescent="0.25">
      <c r="B531" s="35"/>
      <c r="C531" s="35"/>
      <c r="D531" s="35"/>
      <c r="E531" s="106"/>
      <c r="F531" s="35"/>
      <c r="G531" s="393"/>
      <c r="H531" s="393"/>
      <c r="I531" s="373"/>
      <c r="J531" s="35"/>
    </row>
    <row r="532" spans="2:10" x14ac:dyDescent="0.25">
      <c r="B532" s="35"/>
      <c r="C532" s="35"/>
      <c r="D532" s="35"/>
      <c r="E532" s="106"/>
      <c r="F532" s="35"/>
      <c r="G532" s="393"/>
      <c r="H532" s="393"/>
      <c r="I532" s="373"/>
      <c r="J532" s="35"/>
    </row>
    <row r="533" spans="2:10" x14ac:dyDescent="0.25">
      <c r="B533" s="35"/>
      <c r="C533" s="35"/>
      <c r="D533" s="35"/>
      <c r="E533" s="106"/>
      <c r="F533" s="35"/>
      <c r="G533" s="393"/>
      <c r="H533" s="393"/>
      <c r="I533" s="373"/>
      <c r="J533" s="35"/>
    </row>
    <row r="534" spans="2:10" x14ac:dyDescent="0.25">
      <c r="B534" s="35"/>
      <c r="C534" s="35"/>
      <c r="D534" s="35"/>
      <c r="E534" s="106"/>
      <c r="F534" s="35"/>
      <c r="G534" s="393"/>
      <c r="H534" s="393"/>
      <c r="I534" s="373"/>
      <c r="J534" s="35"/>
    </row>
    <row r="535" spans="2:10" x14ac:dyDescent="0.25">
      <c r="B535" s="35"/>
      <c r="C535" s="35"/>
      <c r="D535" s="35"/>
      <c r="E535" s="106"/>
      <c r="F535" s="35"/>
      <c r="G535" s="393"/>
      <c r="H535" s="393"/>
      <c r="I535" s="373"/>
      <c r="J535" s="35"/>
    </row>
    <row r="536" spans="2:10" x14ac:dyDescent="0.25">
      <c r="B536" s="35"/>
      <c r="C536" s="35"/>
      <c r="D536" s="35"/>
      <c r="E536" s="106"/>
      <c r="F536" s="35"/>
      <c r="G536" s="393"/>
      <c r="H536" s="393"/>
      <c r="I536" s="373"/>
      <c r="J536" s="35"/>
    </row>
    <row r="537" spans="2:10" x14ac:dyDescent="0.25">
      <c r="B537" s="35"/>
      <c r="C537" s="35"/>
      <c r="D537" s="35"/>
      <c r="E537" s="106"/>
      <c r="F537" s="35"/>
      <c r="G537" s="393"/>
      <c r="H537" s="393"/>
      <c r="I537" s="373"/>
      <c r="J537" s="35"/>
    </row>
    <row r="538" spans="2:10" x14ac:dyDescent="0.25">
      <c r="B538" s="35"/>
      <c r="C538" s="35"/>
      <c r="D538" s="35"/>
      <c r="E538" s="106"/>
      <c r="F538" s="35"/>
      <c r="G538" s="393"/>
      <c r="H538" s="393"/>
      <c r="I538" s="373"/>
      <c r="J538" s="35"/>
    </row>
    <row r="539" spans="2:10" x14ac:dyDescent="0.25">
      <c r="B539" s="35"/>
      <c r="C539" s="35"/>
      <c r="D539" s="35"/>
      <c r="E539" s="106"/>
      <c r="F539" s="35"/>
      <c r="G539" s="393"/>
      <c r="H539" s="393"/>
      <c r="I539" s="373"/>
      <c r="J539" s="35"/>
    </row>
    <row r="540" spans="2:10" x14ac:dyDescent="0.25">
      <c r="B540" s="35"/>
      <c r="C540" s="35"/>
      <c r="D540" s="35"/>
      <c r="E540" s="106"/>
      <c r="F540" s="35"/>
      <c r="G540" s="393"/>
      <c r="H540" s="393"/>
      <c r="I540" s="373"/>
      <c r="J540" s="35"/>
    </row>
    <row r="541" spans="2:10" x14ac:dyDescent="0.25">
      <c r="B541" s="35"/>
      <c r="C541" s="35"/>
      <c r="D541" s="35"/>
      <c r="E541" s="106"/>
      <c r="F541" s="35"/>
      <c r="G541" s="393"/>
      <c r="H541" s="393"/>
      <c r="I541" s="373"/>
      <c r="J541" s="35"/>
    </row>
    <row r="542" spans="2:10" x14ac:dyDescent="0.25">
      <c r="B542" s="35"/>
      <c r="C542" s="35"/>
      <c r="D542" s="35"/>
      <c r="E542" s="106"/>
      <c r="F542" s="35"/>
      <c r="G542" s="393"/>
      <c r="H542" s="393"/>
      <c r="I542" s="373"/>
      <c r="J542" s="35"/>
    </row>
    <row r="543" spans="2:10" x14ac:dyDescent="0.25">
      <c r="B543" s="35"/>
      <c r="C543" s="35"/>
      <c r="D543" s="35"/>
      <c r="E543" s="106"/>
      <c r="F543" s="35"/>
      <c r="G543" s="393"/>
      <c r="H543" s="393"/>
      <c r="I543" s="373"/>
      <c r="J543" s="35"/>
    </row>
    <row r="544" spans="2:10" x14ac:dyDescent="0.25">
      <c r="B544" s="35"/>
      <c r="C544" s="35"/>
      <c r="D544" s="35"/>
      <c r="E544" s="106"/>
      <c r="F544" s="35"/>
      <c r="G544" s="393"/>
      <c r="H544" s="393"/>
      <c r="I544" s="373"/>
      <c r="J544" s="35"/>
    </row>
    <row r="545" spans="2:10" x14ac:dyDescent="0.25">
      <c r="B545" s="35"/>
      <c r="C545" s="35"/>
      <c r="D545" s="35"/>
      <c r="E545" s="106"/>
      <c r="F545" s="35"/>
      <c r="G545" s="393"/>
      <c r="H545" s="393"/>
      <c r="I545" s="373"/>
      <c r="J545" s="35"/>
    </row>
    <row r="546" spans="2:10" x14ac:dyDescent="0.25">
      <c r="B546" s="35"/>
      <c r="C546" s="35"/>
      <c r="D546" s="35"/>
      <c r="E546" s="106"/>
      <c r="F546" s="35"/>
      <c r="G546" s="393"/>
      <c r="H546" s="393"/>
      <c r="I546" s="373"/>
      <c r="J546" s="35"/>
    </row>
    <row r="547" spans="2:10" x14ac:dyDescent="0.25">
      <c r="B547" s="35"/>
      <c r="C547" s="35"/>
      <c r="D547" s="35"/>
      <c r="E547" s="106"/>
      <c r="F547" s="35"/>
      <c r="G547" s="393"/>
      <c r="H547" s="393"/>
      <c r="I547" s="373"/>
      <c r="J547" s="35"/>
    </row>
    <row r="548" spans="2:10" x14ac:dyDescent="0.25">
      <c r="B548" s="35"/>
      <c r="C548" s="35"/>
      <c r="D548" s="35"/>
      <c r="E548" s="106"/>
      <c r="F548" s="35"/>
      <c r="G548" s="393"/>
      <c r="H548" s="393"/>
      <c r="I548" s="373"/>
      <c r="J548" s="35"/>
    </row>
    <row r="549" spans="2:10" x14ac:dyDescent="0.25">
      <c r="B549" s="35"/>
      <c r="C549" s="35"/>
      <c r="D549" s="35"/>
      <c r="E549" s="106"/>
      <c r="F549" s="35"/>
      <c r="G549" s="393"/>
      <c r="H549" s="393"/>
      <c r="I549" s="373"/>
      <c r="J549" s="35"/>
    </row>
    <row r="550" spans="2:10" x14ac:dyDescent="0.25">
      <c r="B550" s="35"/>
      <c r="C550" s="35"/>
      <c r="D550" s="35"/>
      <c r="E550" s="106"/>
      <c r="F550" s="35"/>
      <c r="G550" s="393"/>
      <c r="H550" s="393"/>
      <c r="I550" s="373"/>
      <c r="J550" s="35"/>
    </row>
    <row r="551" spans="2:10" x14ac:dyDescent="0.25">
      <c r="B551" s="35"/>
      <c r="C551" s="35"/>
      <c r="D551" s="35"/>
      <c r="E551" s="106"/>
      <c r="F551" s="35"/>
      <c r="G551" s="393"/>
      <c r="H551" s="393"/>
      <c r="I551" s="373"/>
      <c r="J551" s="35"/>
    </row>
    <row r="552" spans="2:10" x14ac:dyDescent="0.25">
      <c r="B552" s="35"/>
      <c r="C552" s="35"/>
      <c r="D552" s="35"/>
      <c r="E552" s="106"/>
      <c r="F552" s="35"/>
      <c r="G552" s="393"/>
      <c r="H552" s="393"/>
      <c r="I552" s="373"/>
      <c r="J552" s="35"/>
    </row>
    <row r="553" spans="2:10" x14ac:dyDescent="0.25">
      <c r="B553" s="35"/>
      <c r="C553" s="35"/>
      <c r="D553" s="35"/>
      <c r="E553" s="106"/>
      <c r="F553" s="35"/>
      <c r="G553" s="393"/>
      <c r="H553" s="393"/>
      <c r="I553" s="373"/>
      <c r="J553" s="35"/>
    </row>
    <row r="554" spans="2:10" x14ac:dyDescent="0.25">
      <c r="B554" s="35"/>
      <c r="C554" s="35"/>
      <c r="D554" s="35"/>
      <c r="E554" s="106"/>
      <c r="F554" s="35"/>
      <c r="G554" s="393"/>
      <c r="H554" s="393"/>
      <c r="I554" s="373"/>
      <c r="J554" s="35"/>
    </row>
    <row r="555" spans="2:10" x14ac:dyDescent="0.25">
      <c r="B555" s="35"/>
      <c r="C555" s="35"/>
      <c r="D555" s="35"/>
      <c r="E555" s="106"/>
      <c r="F555" s="35"/>
      <c r="G555" s="393"/>
      <c r="H555" s="393"/>
      <c r="I555" s="373"/>
      <c r="J555" s="35"/>
    </row>
    <row r="556" spans="2:10" x14ac:dyDescent="0.25">
      <c r="B556" s="35"/>
      <c r="C556" s="35"/>
      <c r="D556" s="35"/>
      <c r="E556" s="106"/>
      <c r="F556" s="35"/>
      <c r="G556" s="393"/>
      <c r="H556" s="393"/>
      <c r="I556" s="373"/>
      <c r="J556" s="35"/>
    </row>
    <row r="557" spans="2:10" x14ac:dyDescent="0.25">
      <c r="B557" s="35"/>
      <c r="C557" s="35"/>
      <c r="D557" s="35"/>
      <c r="E557" s="106"/>
      <c r="F557" s="35"/>
      <c r="G557" s="393"/>
      <c r="H557" s="393"/>
      <c r="I557" s="373"/>
      <c r="J557" s="35"/>
    </row>
    <row r="558" spans="2:10" x14ac:dyDescent="0.25">
      <c r="B558" s="35"/>
      <c r="C558" s="35"/>
      <c r="D558" s="35"/>
      <c r="E558" s="106"/>
      <c r="F558" s="35"/>
      <c r="G558" s="393"/>
      <c r="H558" s="393"/>
      <c r="I558" s="373"/>
      <c r="J558" s="35"/>
    </row>
    <row r="559" spans="2:10" x14ac:dyDescent="0.25">
      <c r="B559" s="35"/>
      <c r="C559" s="35"/>
      <c r="D559" s="35"/>
      <c r="E559" s="106"/>
      <c r="F559" s="35"/>
      <c r="G559" s="393"/>
      <c r="H559" s="393"/>
      <c r="I559" s="373"/>
      <c r="J559" s="35"/>
    </row>
    <row r="560" spans="2:10" x14ac:dyDescent="0.25">
      <c r="B560" s="35"/>
      <c r="C560" s="35"/>
      <c r="D560" s="35"/>
      <c r="E560" s="106"/>
      <c r="F560" s="35"/>
      <c r="G560" s="393"/>
      <c r="H560" s="393"/>
      <c r="I560" s="373"/>
      <c r="J560" s="35"/>
    </row>
    <row r="561" spans="2:10" x14ac:dyDescent="0.25">
      <c r="B561" s="35"/>
      <c r="C561" s="35"/>
      <c r="D561" s="35"/>
      <c r="E561" s="106"/>
      <c r="F561" s="35"/>
      <c r="G561" s="393"/>
      <c r="H561" s="393"/>
      <c r="I561" s="373"/>
      <c r="J561" s="35"/>
    </row>
    <row r="562" spans="2:10" x14ac:dyDescent="0.25">
      <c r="B562" s="35"/>
      <c r="C562" s="35"/>
      <c r="D562" s="35"/>
      <c r="E562" s="106"/>
      <c r="F562" s="35"/>
      <c r="G562" s="393"/>
      <c r="H562" s="393"/>
      <c r="I562" s="373"/>
      <c r="J562" s="35"/>
    </row>
    <row r="563" spans="2:10" x14ac:dyDescent="0.25">
      <c r="B563" s="35"/>
      <c r="C563" s="35"/>
      <c r="D563" s="35"/>
      <c r="E563" s="106"/>
      <c r="F563" s="35"/>
      <c r="G563" s="393"/>
      <c r="H563" s="393"/>
      <c r="I563" s="373"/>
      <c r="J563" s="35"/>
    </row>
    <row r="564" spans="2:10" x14ac:dyDescent="0.25">
      <c r="B564" s="35"/>
      <c r="C564" s="35"/>
      <c r="D564" s="35"/>
      <c r="E564" s="106"/>
      <c r="F564" s="35"/>
      <c r="G564" s="393"/>
      <c r="H564" s="393"/>
      <c r="I564" s="373"/>
      <c r="J564" s="35"/>
    </row>
    <row r="565" spans="2:10" x14ac:dyDescent="0.25">
      <c r="B565" s="35"/>
      <c r="C565" s="35"/>
      <c r="D565" s="35"/>
      <c r="E565" s="106"/>
      <c r="F565" s="35"/>
      <c r="G565" s="393"/>
      <c r="H565" s="393"/>
      <c r="I565" s="373"/>
      <c r="J565" s="35"/>
    </row>
    <row r="566" spans="2:10" x14ac:dyDescent="0.25">
      <c r="B566" s="35"/>
      <c r="C566" s="35"/>
      <c r="D566" s="35"/>
      <c r="E566" s="106"/>
      <c r="F566" s="35"/>
      <c r="G566" s="393"/>
      <c r="H566" s="393"/>
      <c r="I566" s="373"/>
      <c r="J566" s="35"/>
    </row>
    <row r="567" spans="2:10" x14ac:dyDescent="0.25">
      <c r="B567" s="35"/>
      <c r="C567" s="35"/>
      <c r="D567" s="35"/>
      <c r="E567" s="106"/>
      <c r="F567" s="35"/>
      <c r="G567" s="393"/>
      <c r="H567" s="393"/>
      <c r="I567" s="373"/>
      <c r="J567" s="35"/>
    </row>
    <row r="568" spans="2:10" x14ac:dyDescent="0.25">
      <c r="B568" s="35"/>
      <c r="C568" s="35"/>
      <c r="D568" s="35"/>
      <c r="E568" s="106"/>
      <c r="F568" s="35"/>
      <c r="G568" s="393"/>
      <c r="H568" s="393"/>
      <c r="I568" s="373"/>
      <c r="J568" s="35"/>
    </row>
    <row r="569" spans="2:10" x14ac:dyDescent="0.25">
      <c r="B569" s="35"/>
      <c r="C569" s="35"/>
      <c r="D569" s="35"/>
      <c r="E569" s="106"/>
      <c r="F569" s="35"/>
      <c r="G569" s="393"/>
      <c r="H569" s="393"/>
      <c r="I569" s="373"/>
      <c r="J569" s="35"/>
    </row>
    <row r="570" spans="2:10" x14ac:dyDescent="0.25">
      <c r="B570" s="35"/>
      <c r="C570" s="35"/>
      <c r="D570" s="35"/>
      <c r="E570" s="106"/>
      <c r="F570" s="35"/>
      <c r="G570" s="393"/>
      <c r="H570" s="393"/>
      <c r="I570" s="373"/>
      <c r="J570" s="35"/>
    </row>
    <row r="571" spans="2:10" x14ac:dyDescent="0.25">
      <c r="B571" s="35"/>
      <c r="C571" s="35"/>
      <c r="D571" s="35"/>
      <c r="E571" s="106"/>
      <c r="F571" s="35"/>
      <c r="G571" s="393"/>
      <c r="H571" s="393"/>
      <c r="I571" s="373"/>
      <c r="J571" s="35"/>
    </row>
    <row r="572" spans="2:10" x14ac:dyDescent="0.25">
      <c r="B572" s="35"/>
      <c r="C572" s="35"/>
      <c r="D572" s="35"/>
      <c r="E572" s="106"/>
      <c r="F572" s="35"/>
      <c r="G572" s="393"/>
      <c r="H572" s="393"/>
      <c r="I572" s="373"/>
      <c r="J572" s="35"/>
    </row>
    <row r="573" spans="2:10" x14ac:dyDescent="0.25">
      <c r="B573" s="35"/>
      <c r="C573" s="35"/>
      <c r="D573" s="35"/>
      <c r="E573" s="106"/>
      <c r="F573" s="35"/>
      <c r="G573" s="393"/>
      <c r="H573" s="393"/>
      <c r="I573" s="373"/>
      <c r="J573" s="35"/>
    </row>
    <row r="574" spans="2:10" x14ac:dyDescent="0.25">
      <c r="B574" s="35"/>
      <c r="C574" s="35"/>
      <c r="D574" s="35"/>
      <c r="E574" s="106"/>
      <c r="F574" s="35"/>
      <c r="G574" s="393"/>
      <c r="H574" s="393"/>
      <c r="I574" s="373"/>
      <c r="J574" s="35"/>
    </row>
    <row r="575" spans="2:10" x14ac:dyDescent="0.25">
      <c r="B575" s="35"/>
      <c r="C575" s="35"/>
      <c r="D575" s="35"/>
      <c r="E575" s="106"/>
      <c r="F575" s="35"/>
      <c r="G575" s="393"/>
      <c r="H575" s="393"/>
      <c r="I575" s="373"/>
      <c r="J575" s="35"/>
    </row>
    <row r="576" spans="2:10" x14ac:dyDescent="0.25">
      <c r="B576" s="35"/>
      <c r="C576" s="35"/>
      <c r="D576" s="35"/>
      <c r="E576" s="106"/>
      <c r="F576" s="35"/>
      <c r="G576" s="393"/>
      <c r="H576" s="393"/>
      <c r="I576" s="373"/>
      <c r="J576" s="35"/>
    </row>
    <row r="577" spans="2:10" x14ac:dyDescent="0.25">
      <c r="B577" s="35"/>
      <c r="C577" s="35"/>
      <c r="D577" s="35"/>
      <c r="E577" s="106"/>
      <c r="F577" s="35"/>
      <c r="G577" s="393"/>
      <c r="H577" s="393"/>
      <c r="I577" s="373"/>
      <c r="J577" s="35"/>
    </row>
    <row r="578" spans="2:10" x14ac:dyDescent="0.25">
      <c r="B578" s="35"/>
      <c r="C578" s="35"/>
      <c r="D578" s="35"/>
      <c r="E578" s="106"/>
      <c r="F578" s="35"/>
      <c r="G578" s="393"/>
      <c r="H578" s="393"/>
      <c r="I578" s="373"/>
      <c r="J578" s="35"/>
    </row>
    <row r="579" spans="2:10" x14ac:dyDescent="0.25">
      <c r="B579" s="35"/>
      <c r="C579" s="35"/>
      <c r="D579" s="35"/>
      <c r="E579" s="106"/>
      <c r="F579" s="35"/>
      <c r="G579" s="393"/>
      <c r="H579" s="393"/>
      <c r="I579" s="373"/>
      <c r="J579" s="35"/>
    </row>
    <row r="580" spans="2:10" x14ac:dyDescent="0.25">
      <c r="B580" s="35"/>
      <c r="C580" s="35"/>
      <c r="D580" s="35"/>
      <c r="E580" s="106"/>
      <c r="F580" s="35"/>
      <c r="G580" s="393"/>
      <c r="H580" s="393"/>
      <c r="I580" s="373"/>
      <c r="J580" s="35"/>
    </row>
    <row r="581" spans="2:10" x14ac:dyDescent="0.25">
      <c r="B581" s="35"/>
      <c r="C581" s="35"/>
      <c r="D581" s="35"/>
      <c r="E581" s="106"/>
      <c r="F581" s="35"/>
      <c r="G581" s="393"/>
      <c r="H581" s="393"/>
      <c r="I581" s="373"/>
      <c r="J581" s="35"/>
    </row>
    <row r="582" spans="2:10" x14ac:dyDescent="0.25">
      <c r="B582" s="35"/>
      <c r="C582" s="35"/>
      <c r="D582" s="35"/>
      <c r="E582" s="106"/>
      <c r="F582" s="35"/>
      <c r="G582" s="393"/>
      <c r="H582" s="393"/>
      <c r="I582" s="373"/>
      <c r="J582" s="35"/>
    </row>
    <row r="583" spans="2:10" x14ac:dyDescent="0.25">
      <c r="B583" s="35"/>
      <c r="C583" s="35"/>
      <c r="D583" s="35"/>
      <c r="E583" s="106"/>
      <c r="F583" s="35"/>
      <c r="G583" s="393"/>
      <c r="H583" s="393"/>
      <c r="I583" s="373"/>
      <c r="J583" s="35"/>
    </row>
    <row r="584" spans="2:10" x14ac:dyDescent="0.25">
      <c r="B584" s="35"/>
      <c r="C584" s="35"/>
      <c r="D584" s="35"/>
      <c r="E584" s="106"/>
      <c r="F584" s="35"/>
      <c r="G584" s="393"/>
      <c r="H584" s="393"/>
      <c r="I584" s="373"/>
      <c r="J584" s="35"/>
    </row>
    <row r="585" spans="2:10" x14ac:dyDescent="0.25">
      <c r="B585" s="35"/>
      <c r="C585" s="35"/>
      <c r="D585" s="35"/>
      <c r="E585" s="106"/>
      <c r="F585" s="35"/>
      <c r="G585" s="393"/>
      <c r="H585" s="393"/>
      <c r="I585" s="373"/>
      <c r="J585" s="35"/>
    </row>
    <row r="586" spans="2:10" x14ac:dyDescent="0.25">
      <c r="B586" s="35"/>
      <c r="C586" s="35"/>
      <c r="D586" s="35"/>
      <c r="E586" s="106"/>
      <c r="F586" s="35"/>
      <c r="G586" s="393"/>
      <c r="H586" s="393"/>
      <c r="I586" s="373"/>
      <c r="J586" s="35"/>
    </row>
    <row r="587" spans="2:10" x14ac:dyDescent="0.25">
      <c r="B587" s="35"/>
      <c r="C587" s="35"/>
      <c r="D587" s="35"/>
      <c r="E587" s="106"/>
      <c r="F587" s="35"/>
      <c r="G587" s="393"/>
      <c r="H587" s="393"/>
      <c r="I587" s="373"/>
      <c r="J587" s="35"/>
    </row>
    <row r="588" spans="2:10" x14ac:dyDescent="0.25">
      <c r="B588" s="35"/>
      <c r="C588" s="35"/>
      <c r="D588" s="35"/>
      <c r="E588" s="106"/>
      <c r="F588" s="35"/>
      <c r="G588" s="393"/>
      <c r="H588" s="393"/>
      <c r="I588" s="373"/>
      <c r="J588" s="35"/>
    </row>
    <row r="589" spans="2:10" x14ac:dyDescent="0.25">
      <c r="B589" s="35"/>
      <c r="C589" s="35"/>
      <c r="D589" s="35"/>
      <c r="E589" s="106"/>
      <c r="F589" s="35"/>
      <c r="G589" s="393"/>
      <c r="H589" s="393"/>
      <c r="I589" s="373"/>
      <c r="J589" s="35"/>
    </row>
    <row r="590" spans="2:10" x14ac:dyDescent="0.25">
      <c r="B590" s="35"/>
      <c r="C590" s="35"/>
      <c r="D590" s="35"/>
      <c r="E590" s="106"/>
      <c r="F590" s="35"/>
      <c r="G590" s="393"/>
      <c r="H590" s="393"/>
      <c r="I590" s="373"/>
      <c r="J590" s="35"/>
    </row>
    <row r="591" spans="2:10" x14ac:dyDescent="0.25">
      <c r="B591" s="35"/>
      <c r="C591" s="35"/>
      <c r="D591" s="35"/>
      <c r="E591" s="106"/>
      <c r="F591" s="35"/>
      <c r="G591" s="393"/>
      <c r="H591" s="393"/>
      <c r="I591" s="373"/>
      <c r="J591" s="35"/>
    </row>
    <row r="592" spans="2:10" x14ac:dyDescent="0.25">
      <c r="B592" s="35"/>
      <c r="C592" s="35"/>
      <c r="D592" s="35"/>
      <c r="E592" s="106"/>
      <c r="F592" s="35"/>
      <c r="G592" s="393"/>
      <c r="H592" s="393"/>
      <c r="I592" s="373"/>
      <c r="J592" s="35"/>
    </row>
    <row r="593" spans="2:10" x14ac:dyDescent="0.25">
      <c r="B593" s="35"/>
      <c r="C593" s="35"/>
      <c r="D593" s="35"/>
      <c r="E593" s="106"/>
      <c r="F593" s="35"/>
      <c r="G593" s="393"/>
      <c r="H593" s="393"/>
      <c r="I593" s="373"/>
      <c r="J593" s="35"/>
    </row>
    <row r="594" spans="2:10" x14ac:dyDescent="0.25">
      <c r="B594" s="35"/>
      <c r="C594" s="35"/>
      <c r="D594" s="35"/>
      <c r="E594" s="106"/>
      <c r="F594" s="35"/>
      <c r="G594" s="393"/>
      <c r="H594" s="393"/>
      <c r="I594" s="373"/>
      <c r="J594" s="35"/>
    </row>
    <row r="595" spans="2:10" x14ac:dyDescent="0.25">
      <c r="B595" s="35"/>
      <c r="C595" s="35"/>
      <c r="D595" s="35"/>
      <c r="E595" s="106"/>
      <c r="F595" s="35"/>
      <c r="G595" s="393"/>
      <c r="H595" s="393"/>
      <c r="I595" s="373"/>
      <c r="J595" s="35"/>
    </row>
    <row r="596" spans="2:10" x14ac:dyDescent="0.25">
      <c r="B596" s="35"/>
      <c r="C596" s="35"/>
      <c r="D596" s="35"/>
      <c r="E596" s="106"/>
      <c r="F596" s="35"/>
      <c r="G596" s="393"/>
      <c r="H596" s="393"/>
      <c r="I596" s="373"/>
      <c r="J596" s="35"/>
    </row>
    <row r="597" spans="2:10" x14ac:dyDescent="0.25">
      <c r="B597" s="35"/>
      <c r="C597" s="35"/>
      <c r="D597" s="35"/>
      <c r="E597" s="106"/>
      <c r="F597" s="35"/>
      <c r="G597" s="393"/>
      <c r="H597" s="393"/>
      <c r="I597" s="373"/>
      <c r="J597" s="35"/>
    </row>
    <row r="598" spans="2:10" x14ac:dyDescent="0.25">
      <c r="B598" s="35"/>
      <c r="C598" s="35"/>
      <c r="D598" s="35"/>
      <c r="E598" s="106"/>
      <c r="F598" s="35"/>
      <c r="G598" s="393"/>
      <c r="H598" s="393"/>
      <c r="I598" s="373"/>
      <c r="J598" s="35"/>
    </row>
    <row r="599" spans="2:10" x14ac:dyDescent="0.25">
      <c r="B599" s="35"/>
      <c r="C599" s="35"/>
      <c r="D599" s="35"/>
      <c r="E599" s="106"/>
      <c r="F599" s="35"/>
      <c r="G599" s="393"/>
      <c r="H599" s="393"/>
      <c r="I599" s="373"/>
      <c r="J599" s="35"/>
    </row>
    <row r="600" spans="2:10" x14ac:dyDescent="0.25">
      <c r="B600" s="35"/>
      <c r="C600" s="35"/>
      <c r="D600" s="35"/>
      <c r="E600" s="106"/>
      <c r="F600" s="35"/>
      <c r="G600" s="393"/>
      <c r="H600" s="393"/>
      <c r="I600" s="373"/>
      <c r="J600" s="35"/>
    </row>
    <row r="601" spans="2:10" x14ac:dyDescent="0.25">
      <c r="B601" s="35"/>
      <c r="C601" s="35"/>
      <c r="D601" s="35"/>
      <c r="E601" s="106"/>
      <c r="F601" s="35"/>
      <c r="G601" s="393"/>
      <c r="H601" s="393"/>
      <c r="I601" s="373"/>
      <c r="J601" s="35"/>
    </row>
    <row r="602" spans="2:10" x14ac:dyDescent="0.25">
      <c r="B602" s="35"/>
      <c r="C602" s="35"/>
      <c r="D602" s="35"/>
      <c r="E602" s="106"/>
      <c r="F602" s="35"/>
      <c r="G602" s="393"/>
      <c r="H602" s="393"/>
      <c r="I602" s="373"/>
      <c r="J602" s="35"/>
    </row>
    <row r="603" spans="2:10" x14ac:dyDescent="0.25">
      <c r="B603" s="35"/>
      <c r="C603" s="35"/>
      <c r="D603" s="35"/>
      <c r="E603" s="106"/>
      <c r="F603" s="35"/>
      <c r="G603" s="393"/>
      <c r="H603" s="393"/>
      <c r="I603" s="373"/>
      <c r="J603" s="35"/>
    </row>
    <row r="604" spans="2:10" x14ac:dyDescent="0.25">
      <c r="B604" s="35"/>
      <c r="C604" s="35"/>
      <c r="D604" s="35"/>
      <c r="E604" s="106"/>
      <c r="F604" s="35"/>
      <c r="G604" s="393"/>
      <c r="H604" s="393"/>
      <c r="I604" s="373"/>
      <c r="J604" s="35"/>
    </row>
    <row r="605" spans="2:10" x14ac:dyDescent="0.25">
      <c r="B605" s="35"/>
      <c r="C605" s="35"/>
      <c r="D605" s="35"/>
      <c r="E605" s="106"/>
      <c r="F605" s="35"/>
      <c r="G605" s="393"/>
      <c r="H605" s="393"/>
      <c r="I605" s="373"/>
      <c r="J605" s="35"/>
    </row>
    <row r="606" spans="2:10" x14ac:dyDescent="0.25">
      <c r="B606" s="35"/>
      <c r="C606" s="35"/>
      <c r="D606" s="35"/>
      <c r="E606" s="106"/>
      <c r="F606" s="35"/>
      <c r="G606" s="393"/>
      <c r="H606" s="393"/>
      <c r="I606" s="373"/>
      <c r="J606" s="35"/>
    </row>
    <row r="607" spans="2:10" x14ac:dyDescent="0.25">
      <c r="B607" s="35"/>
      <c r="C607" s="35"/>
      <c r="D607" s="35"/>
      <c r="E607" s="106"/>
      <c r="F607" s="35"/>
      <c r="G607" s="393"/>
      <c r="H607" s="393"/>
      <c r="I607" s="373"/>
      <c r="J607" s="35"/>
    </row>
    <row r="608" spans="2:10" x14ac:dyDescent="0.25">
      <c r="B608" s="35"/>
      <c r="C608" s="35"/>
      <c r="D608" s="35"/>
      <c r="E608" s="106"/>
      <c r="F608" s="35"/>
      <c r="G608" s="393"/>
      <c r="H608" s="393"/>
      <c r="I608" s="373"/>
      <c r="J608" s="35"/>
    </row>
    <row r="609" spans="2:10" x14ac:dyDescent="0.25">
      <c r="B609" s="35"/>
      <c r="C609" s="35"/>
      <c r="D609" s="35"/>
      <c r="E609" s="106"/>
      <c r="F609" s="35"/>
      <c r="G609" s="393"/>
      <c r="H609" s="393"/>
      <c r="I609" s="373"/>
      <c r="J609" s="35"/>
    </row>
    <row r="610" spans="2:10" x14ac:dyDescent="0.25">
      <c r="B610" s="35"/>
      <c r="C610" s="35"/>
      <c r="D610" s="35"/>
      <c r="E610" s="106"/>
      <c r="F610" s="35"/>
      <c r="G610" s="393"/>
      <c r="H610" s="393"/>
      <c r="I610" s="373"/>
      <c r="J610" s="35"/>
    </row>
    <row r="611" spans="2:10" x14ac:dyDescent="0.25">
      <c r="B611" s="35"/>
      <c r="C611" s="35"/>
      <c r="D611" s="35"/>
      <c r="E611" s="106"/>
      <c r="F611" s="35"/>
      <c r="G611" s="393"/>
      <c r="H611" s="393"/>
      <c r="I611" s="373"/>
      <c r="J611" s="35"/>
    </row>
    <row r="612" spans="2:10" x14ac:dyDescent="0.25">
      <c r="B612" s="35"/>
      <c r="C612" s="35"/>
      <c r="D612" s="35"/>
      <c r="E612" s="106"/>
      <c r="F612" s="35"/>
      <c r="G612" s="393"/>
      <c r="H612" s="393"/>
      <c r="I612" s="373"/>
      <c r="J612" s="35"/>
    </row>
    <row r="613" spans="2:10" x14ac:dyDescent="0.25">
      <c r="B613" s="35"/>
      <c r="C613" s="35"/>
      <c r="D613" s="35"/>
      <c r="E613" s="106"/>
      <c r="F613" s="35"/>
      <c r="G613" s="393"/>
      <c r="H613" s="393"/>
      <c r="I613" s="373"/>
      <c r="J613" s="35"/>
    </row>
    <row r="614" spans="2:10" x14ac:dyDescent="0.25">
      <c r="B614" s="35"/>
      <c r="C614" s="35"/>
      <c r="D614" s="35"/>
      <c r="E614" s="106"/>
      <c r="F614" s="35"/>
      <c r="G614" s="393"/>
      <c r="H614" s="393"/>
      <c r="I614" s="373"/>
      <c r="J614" s="35"/>
    </row>
    <row r="615" spans="2:10" x14ac:dyDescent="0.25">
      <c r="B615" s="35"/>
      <c r="C615" s="35"/>
      <c r="D615" s="35"/>
      <c r="E615" s="106"/>
      <c r="F615" s="35"/>
      <c r="G615" s="393"/>
      <c r="H615" s="393"/>
      <c r="I615" s="373"/>
      <c r="J615" s="35"/>
    </row>
    <row r="616" spans="2:10" x14ac:dyDescent="0.25">
      <c r="B616" s="35"/>
      <c r="C616" s="35"/>
      <c r="D616" s="35"/>
      <c r="E616" s="106"/>
      <c r="F616" s="35"/>
      <c r="G616" s="393"/>
      <c r="H616" s="393"/>
      <c r="I616" s="373"/>
      <c r="J616" s="35"/>
    </row>
    <row r="617" spans="2:10" x14ac:dyDescent="0.25">
      <c r="B617" s="35"/>
      <c r="C617" s="35"/>
      <c r="D617" s="35"/>
      <c r="E617" s="106"/>
      <c r="F617" s="35"/>
      <c r="G617" s="393"/>
      <c r="H617" s="393"/>
      <c r="I617" s="373"/>
      <c r="J617" s="35"/>
    </row>
    <row r="618" spans="2:10" x14ac:dyDescent="0.25">
      <c r="B618" s="35"/>
      <c r="C618" s="35"/>
      <c r="D618" s="35"/>
      <c r="E618" s="106"/>
      <c r="F618" s="35"/>
      <c r="G618" s="393"/>
      <c r="H618" s="393"/>
      <c r="I618" s="373"/>
      <c r="J618" s="35"/>
    </row>
    <row r="619" spans="2:10" x14ac:dyDescent="0.25">
      <c r="B619" s="35"/>
      <c r="C619" s="35"/>
      <c r="D619" s="35"/>
      <c r="E619" s="106"/>
      <c r="F619" s="35"/>
      <c r="G619" s="393"/>
      <c r="H619" s="393"/>
      <c r="I619" s="373"/>
      <c r="J619" s="35"/>
    </row>
    <row r="620" spans="2:10" x14ac:dyDescent="0.25">
      <c r="B620" s="35"/>
      <c r="C620" s="35"/>
      <c r="D620" s="35"/>
      <c r="E620" s="106"/>
      <c r="F620" s="35"/>
      <c r="G620" s="393"/>
      <c r="H620" s="393"/>
      <c r="I620" s="373"/>
      <c r="J620" s="35"/>
    </row>
    <row r="621" spans="2:10" x14ac:dyDescent="0.25">
      <c r="B621" s="35"/>
      <c r="C621" s="35"/>
      <c r="D621" s="35"/>
      <c r="E621" s="106"/>
      <c r="F621" s="35"/>
      <c r="G621" s="393"/>
      <c r="H621" s="393"/>
      <c r="I621" s="373"/>
      <c r="J621" s="35"/>
    </row>
    <row r="622" spans="2:10" x14ac:dyDescent="0.25">
      <c r="B622" s="35"/>
      <c r="C622" s="35"/>
      <c r="D622" s="35"/>
      <c r="E622" s="106"/>
      <c r="F622" s="35"/>
      <c r="G622" s="393"/>
      <c r="H622" s="393"/>
      <c r="I622" s="373"/>
      <c r="J622" s="35"/>
    </row>
    <row r="623" spans="2:10" x14ac:dyDescent="0.25">
      <c r="B623" s="35"/>
      <c r="C623" s="35"/>
      <c r="D623" s="35"/>
      <c r="E623" s="106"/>
      <c r="F623" s="35"/>
      <c r="G623" s="393"/>
      <c r="H623" s="393"/>
      <c r="I623" s="373"/>
      <c r="J623" s="35"/>
    </row>
    <row r="624" spans="2:10" x14ac:dyDescent="0.25">
      <c r="B624" s="35"/>
      <c r="C624" s="35"/>
      <c r="D624" s="35"/>
      <c r="E624" s="106"/>
      <c r="F624" s="35"/>
      <c r="G624" s="393"/>
      <c r="H624" s="393"/>
      <c r="I624" s="373"/>
      <c r="J624" s="35"/>
    </row>
    <row r="625" spans="2:10" x14ac:dyDescent="0.25">
      <c r="B625" s="35"/>
      <c r="C625" s="35"/>
      <c r="D625" s="35"/>
      <c r="E625" s="106"/>
      <c r="F625" s="35"/>
      <c r="G625" s="393"/>
      <c r="H625" s="393"/>
      <c r="I625" s="373"/>
      <c r="J625" s="35"/>
    </row>
    <row r="626" spans="2:10" x14ac:dyDescent="0.25">
      <c r="B626" s="35"/>
      <c r="C626" s="35"/>
      <c r="D626" s="35"/>
      <c r="E626" s="106"/>
      <c r="F626" s="35"/>
      <c r="G626" s="393"/>
      <c r="H626" s="393"/>
      <c r="I626" s="373"/>
      <c r="J626" s="35"/>
    </row>
    <row r="627" spans="2:10" x14ac:dyDescent="0.25">
      <c r="B627" s="35"/>
      <c r="C627" s="35"/>
      <c r="D627" s="35"/>
      <c r="E627" s="106"/>
      <c r="F627" s="35"/>
      <c r="G627" s="393"/>
      <c r="H627" s="393"/>
      <c r="I627" s="373"/>
      <c r="J627" s="35"/>
    </row>
    <row r="628" spans="2:10" x14ac:dyDescent="0.25">
      <c r="B628" s="35"/>
      <c r="C628" s="35"/>
      <c r="D628" s="35"/>
      <c r="E628" s="106"/>
      <c r="F628" s="35"/>
      <c r="G628" s="393"/>
      <c r="H628" s="393"/>
      <c r="I628" s="373"/>
      <c r="J628" s="35"/>
    </row>
    <row r="629" spans="2:10" x14ac:dyDescent="0.25">
      <c r="B629" s="35"/>
      <c r="C629" s="35"/>
      <c r="D629" s="35"/>
      <c r="E629" s="106"/>
      <c r="F629" s="35"/>
      <c r="G629" s="393"/>
      <c r="H629" s="393"/>
      <c r="I629" s="373"/>
      <c r="J629" s="35"/>
    </row>
    <row r="630" spans="2:10" x14ac:dyDescent="0.25">
      <c r="B630" s="35"/>
      <c r="C630" s="35"/>
      <c r="D630" s="35"/>
      <c r="E630" s="106"/>
      <c r="F630" s="35"/>
      <c r="G630" s="393"/>
      <c r="H630" s="393"/>
      <c r="I630" s="373"/>
      <c r="J630" s="35"/>
    </row>
    <row r="631" spans="2:10" x14ac:dyDescent="0.25">
      <c r="B631" s="35"/>
      <c r="C631" s="35"/>
      <c r="D631" s="35"/>
      <c r="E631" s="106"/>
      <c r="F631" s="35"/>
      <c r="G631" s="393"/>
      <c r="H631" s="393"/>
      <c r="I631" s="373"/>
      <c r="J631" s="35"/>
    </row>
    <row r="632" spans="2:10" x14ac:dyDescent="0.25">
      <c r="B632" s="35"/>
      <c r="C632" s="35"/>
      <c r="D632" s="35"/>
      <c r="E632" s="106"/>
      <c r="F632" s="35"/>
      <c r="G632" s="393"/>
      <c r="H632" s="393"/>
      <c r="I632" s="373"/>
      <c r="J632" s="35"/>
    </row>
    <row r="633" spans="2:10" x14ac:dyDescent="0.25">
      <c r="B633" s="35"/>
      <c r="C633" s="35"/>
      <c r="D633" s="35"/>
      <c r="E633" s="106"/>
      <c r="F633" s="35"/>
      <c r="G633" s="393"/>
      <c r="H633" s="393"/>
      <c r="I633" s="373"/>
      <c r="J633" s="35"/>
    </row>
    <row r="634" spans="2:10" x14ac:dyDescent="0.25">
      <c r="B634" s="35"/>
      <c r="C634" s="35"/>
      <c r="D634" s="35"/>
      <c r="E634" s="106"/>
      <c r="F634" s="35"/>
      <c r="G634" s="393"/>
      <c r="H634" s="393"/>
      <c r="I634" s="373"/>
      <c r="J634" s="35"/>
    </row>
    <row r="635" spans="2:10" x14ac:dyDescent="0.25">
      <c r="B635" s="35"/>
      <c r="C635" s="35"/>
      <c r="D635" s="35"/>
      <c r="E635" s="106"/>
      <c r="F635" s="35"/>
      <c r="G635" s="393"/>
      <c r="H635" s="393"/>
      <c r="I635" s="373"/>
      <c r="J635" s="35"/>
    </row>
    <row r="636" spans="2:10" x14ac:dyDescent="0.25">
      <c r="B636" s="35"/>
      <c r="C636" s="35"/>
      <c r="D636" s="35"/>
      <c r="E636" s="106"/>
      <c r="F636" s="35"/>
      <c r="G636" s="393"/>
      <c r="H636" s="393"/>
      <c r="I636" s="373"/>
      <c r="J636" s="35"/>
    </row>
    <row r="637" spans="2:10" x14ac:dyDescent="0.25">
      <c r="B637" s="35"/>
      <c r="C637" s="35"/>
      <c r="D637" s="35"/>
      <c r="E637" s="106"/>
      <c r="F637" s="35"/>
      <c r="G637" s="393"/>
      <c r="H637" s="393"/>
      <c r="I637" s="373"/>
      <c r="J637" s="35"/>
    </row>
    <row r="638" spans="2:10" x14ac:dyDescent="0.25">
      <c r="B638" s="35"/>
      <c r="C638" s="35"/>
      <c r="D638" s="35"/>
      <c r="E638" s="106"/>
      <c r="F638" s="35"/>
      <c r="G638" s="393"/>
      <c r="H638" s="393"/>
      <c r="I638" s="373"/>
      <c r="J638" s="35"/>
    </row>
    <row r="639" spans="2:10" x14ac:dyDescent="0.25">
      <c r="B639" s="35"/>
      <c r="C639" s="35"/>
      <c r="D639" s="35"/>
      <c r="E639" s="106"/>
      <c r="F639" s="35"/>
      <c r="G639" s="393"/>
      <c r="H639" s="393"/>
      <c r="I639" s="373"/>
      <c r="J639" s="35"/>
    </row>
    <row r="640" spans="2:10" x14ac:dyDescent="0.25">
      <c r="B640" s="35"/>
      <c r="C640" s="35"/>
      <c r="D640" s="35"/>
      <c r="E640" s="106"/>
      <c r="F640" s="35"/>
      <c r="G640" s="393"/>
      <c r="H640" s="393"/>
      <c r="I640" s="373"/>
      <c r="J640" s="35"/>
    </row>
    <row r="641" spans="2:10" x14ac:dyDescent="0.25">
      <c r="B641" s="35"/>
      <c r="C641" s="35"/>
      <c r="D641" s="35"/>
      <c r="E641" s="106"/>
      <c r="F641" s="35"/>
      <c r="G641" s="393"/>
      <c r="H641" s="393"/>
      <c r="I641" s="373"/>
      <c r="J641" s="35"/>
    </row>
    <row r="642" spans="2:10" x14ac:dyDescent="0.25">
      <c r="B642" s="35"/>
      <c r="C642" s="35"/>
      <c r="D642" s="35"/>
      <c r="E642" s="106"/>
      <c r="F642" s="35"/>
      <c r="G642" s="393"/>
      <c r="H642" s="393"/>
      <c r="I642" s="373"/>
      <c r="J642" s="35"/>
    </row>
    <row r="643" spans="2:10" x14ac:dyDescent="0.25">
      <c r="B643" s="35"/>
      <c r="C643" s="35"/>
      <c r="D643" s="35"/>
      <c r="E643" s="106"/>
      <c r="F643" s="35"/>
      <c r="G643" s="393"/>
      <c r="H643" s="393"/>
      <c r="I643" s="373"/>
      <c r="J643" s="35"/>
    </row>
    <row r="644" spans="2:10" x14ac:dyDescent="0.25">
      <c r="B644" s="35"/>
      <c r="C644" s="35"/>
      <c r="D644" s="35"/>
      <c r="E644" s="106"/>
      <c r="F644" s="35"/>
      <c r="G644" s="393"/>
      <c r="H644" s="393"/>
      <c r="I644" s="373"/>
      <c r="J644" s="35"/>
    </row>
    <row r="645" spans="2:10" x14ac:dyDescent="0.25">
      <c r="B645" s="35"/>
      <c r="C645" s="35"/>
      <c r="D645" s="35"/>
      <c r="E645" s="106"/>
      <c r="F645" s="35"/>
      <c r="G645" s="393"/>
      <c r="H645" s="393"/>
      <c r="I645" s="373"/>
      <c r="J645" s="35"/>
    </row>
    <row r="646" spans="2:10" x14ac:dyDescent="0.25">
      <c r="B646" s="35"/>
      <c r="C646" s="35"/>
      <c r="D646" s="35"/>
      <c r="E646" s="106"/>
      <c r="F646" s="35"/>
      <c r="G646" s="393"/>
      <c r="H646" s="393"/>
      <c r="I646" s="373"/>
      <c r="J646" s="35"/>
    </row>
    <row r="647" spans="2:10" x14ac:dyDescent="0.25">
      <c r="B647" s="35"/>
      <c r="C647" s="35"/>
      <c r="D647" s="35"/>
      <c r="E647" s="106"/>
      <c r="F647" s="35"/>
      <c r="G647" s="393"/>
      <c r="H647" s="393"/>
      <c r="I647" s="373"/>
      <c r="J647" s="35"/>
    </row>
    <row r="648" spans="2:10" x14ac:dyDescent="0.25">
      <c r="B648" s="35"/>
      <c r="C648" s="35"/>
      <c r="D648" s="35"/>
      <c r="E648" s="106"/>
      <c r="F648" s="35"/>
      <c r="G648" s="393"/>
      <c r="H648" s="393"/>
      <c r="I648" s="373"/>
      <c r="J648" s="35"/>
    </row>
    <row r="649" spans="2:10" x14ac:dyDescent="0.25">
      <c r="B649" s="35"/>
      <c r="C649" s="35"/>
      <c r="D649" s="35"/>
      <c r="E649" s="106"/>
      <c r="F649" s="35"/>
      <c r="G649" s="393"/>
      <c r="H649" s="393"/>
      <c r="I649" s="373"/>
      <c r="J649" s="35"/>
    </row>
    <row r="650" spans="2:10" x14ac:dyDescent="0.25">
      <c r="B650" s="35"/>
      <c r="C650" s="35"/>
      <c r="D650" s="35"/>
      <c r="E650" s="106"/>
      <c r="F650" s="35"/>
      <c r="G650" s="393"/>
      <c r="H650" s="393"/>
      <c r="I650" s="373"/>
      <c r="J650" s="35"/>
    </row>
    <row r="651" spans="2:10" x14ac:dyDescent="0.25">
      <c r="B651" s="35"/>
      <c r="C651" s="35"/>
      <c r="D651" s="35"/>
      <c r="E651" s="106"/>
      <c r="F651" s="35"/>
      <c r="G651" s="393"/>
      <c r="H651" s="393"/>
      <c r="I651" s="373"/>
      <c r="J651" s="35"/>
    </row>
    <row r="652" spans="2:10" x14ac:dyDescent="0.25">
      <c r="B652" s="35"/>
      <c r="C652" s="35"/>
      <c r="D652" s="35"/>
      <c r="E652" s="106"/>
      <c r="F652" s="35"/>
      <c r="G652" s="393"/>
      <c r="H652" s="393"/>
      <c r="I652" s="373"/>
      <c r="J652" s="35"/>
    </row>
    <row r="653" spans="2:10" x14ac:dyDescent="0.25">
      <c r="B653" s="35"/>
      <c r="C653" s="35"/>
      <c r="D653" s="35"/>
      <c r="E653" s="106"/>
      <c r="F653" s="35"/>
      <c r="G653" s="393"/>
      <c r="H653" s="393"/>
      <c r="I653" s="373"/>
      <c r="J653" s="35"/>
    </row>
    <row r="654" spans="2:10" x14ac:dyDescent="0.25">
      <c r="B654" s="35"/>
      <c r="C654" s="35"/>
      <c r="D654" s="35"/>
      <c r="E654" s="106"/>
      <c r="F654" s="35"/>
      <c r="G654" s="393"/>
      <c r="H654" s="393"/>
      <c r="I654" s="373"/>
      <c r="J654" s="35"/>
    </row>
    <row r="655" spans="2:10" x14ac:dyDescent="0.25">
      <c r="B655" s="35"/>
      <c r="C655" s="35"/>
      <c r="D655" s="35"/>
      <c r="E655" s="106"/>
      <c r="F655" s="35"/>
      <c r="G655" s="393"/>
      <c r="H655" s="393"/>
      <c r="I655" s="373"/>
      <c r="J655" s="35"/>
    </row>
    <row r="656" spans="2:10" x14ac:dyDescent="0.25">
      <c r="B656" s="35"/>
      <c r="C656" s="35"/>
      <c r="D656" s="35"/>
      <c r="E656" s="106"/>
      <c r="F656" s="35"/>
      <c r="G656" s="393"/>
      <c r="H656" s="393"/>
      <c r="I656" s="373"/>
      <c r="J656" s="35"/>
    </row>
    <row r="657" spans="2:10" x14ac:dyDescent="0.25">
      <c r="B657" s="35"/>
      <c r="C657" s="35"/>
      <c r="D657" s="35"/>
      <c r="E657" s="106"/>
      <c r="F657" s="35"/>
      <c r="G657" s="393"/>
      <c r="H657" s="393"/>
      <c r="I657" s="373"/>
      <c r="J657" s="35"/>
    </row>
    <row r="658" spans="2:10" x14ac:dyDescent="0.25">
      <c r="B658" s="35"/>
      <c r="C658" s="35"/>
      <c r="D658" s="35"/>
      <c r="E658" s="106"/>
      <c r="F658" s="35"/>
      <c r="G658" s="393"/>
      <c r="H658" s="393"/>
      <c r="I658" s="373"/>
      <c r="J658" s="35"/>
    </row>
    <row r="659" spans="2:10" x14ac:dyDescent="0.25">
      <c r="B659" s="35"/>
      <c r="C659" s="35"/>
      <c r="D659" s="35"/>
      <c r="E659" s="106"/>
      <c r="F659" s="35"/>
      <c r="G659" s="393"/>
      <c r="H659" s="393"/>
      <c r="I659" s="373"/>
      <c r="J659" s="35"/>
    </row>
    <row r="660" spans="2:10" x14ac:dyDescent="0.25">
      <c r="B660" s="35"/>
      <c r="C660" s="35"/>
      <c r="D660" s="35"/>
      <c r="E660" s="106"/>
      <c r="F660" s="35"/>
      <c r="G660" s="393"/>
      <c r="H660" s="393"/>
      <c r="I660" s="373"/>
      <c r="J660" s="35"/>
    </row>
    <row r="661" spans="2:10" x14ac:dyDescent="0.25">
      <c r="B661" s="35"/>
      <c r="C661" s="35"/>
      <c r="D661" s="35"/>
      <c r="E661" s="106"/>
      <c r="F661" s="35"/>
      <c r="G661" s="393"/>
      <c r="H661" s="393"/>
      <c r="I661" s="373"/>
      <c r="J661" s="35"/>
    </row>
    <row r="662" spans="2:10" x14ac:dyDescent="0.25">
      <c r="B662" s="35"/>
      <c r="C662" s="35"/>
      <c r="D662" s="35"/>
      <c r="E662" s="106"/>
      <c r="F662" s="35"/>
      <c r="G662" s="393"/>
      <c r="H662" s="393"/>
      <c r="I662" s="373"/>
      <c r="J662" s="35"/>
    </row>
    <row r="663" spans="2:10" x14ac:dyDescent="0.25">
      <c r="B663" s="35"/>
      <c r="C663" s="35"/>
      <c r="D663" s="35"/>
      <c r="E663" s="106"/>
      <c r="F663" s="35"/>
      <c r="G663" s="393"/>
      <c r="H663" s="393"/>
      <c r="I663" s="373"/>
      <c r="J663" s="35"/>
    </row>
    <row r="664" spans="2:10" x14ac:dyDescent="0.25">
      <c r="B664" s="35"/>
      <c r="C664" s="35"/>
      <c r="D664" s="35"/>
      <c r="E664" s="106"/>
      <c r="F664" s="35"/>
      <c r="G664" s="393"/>
      <c r="H664" s="393"/>
      <c r="I664" s="373"/>
      <c r="J664" s="35"/>
    </row>
    <row r="665" spans="2:10" x14ac:dyDescent="0.25">
      <c r="B665" s="35"/>
      <c r="C665" s="35"/>
      <c r="D665" s="35"/>
      <c r="E665" s="106"/>
      <c r="F665" s="35"/>
      <c r="G665" s="393"/>
      <c r="H665" s="393"/>
      <c r="I665" s="373"/>
      <c r="J665" s="35"/>
    </row>
    <row r="666" spans="2:10" x14ac:dyDescent="0.25">
      <c r="B666" s="35"/>
      <c r="C666" s="35"/>
      <c r="D666" s="35"/>
      <c r="E666" s="106"/>
      <c r="F666" s="35"/>
      <c r="G666" s="393"/>
      <c r="H666" s="393"/>
      <c r="I666" s="373"/>
      <c r="J666" s="35"/>
    </row>
    <row r="667" spans="2:10" x14ac:dyDescent="0.25">
      <c r="B667" s="35"/>
      <c r="C667" s="35"/>
      <c r="D667" s="35"/>
      <c r="E667" s="106"/>
      <c r="F667" s="35"/>
      <c r="G667" s="393"/>
      <c r="H667" s="393"/>
      <c r="I667" s="373"/>
      <c r="J667" s="35"/>
    </row>
    <row r="668" spans="2:10" x14ac:dyDescent="0.25">
      <c r="B668" s="35"/>
      <c r="C668" s="35"/>
      <c r="D668" s="35"/>
      <c r="E668" s="106"/>
      <c r="F668" s="35"/>
      <c r="G668" s="393"/>
      <c r="H668" s="393"/>
      <c r="I668" s="373"/>
      <c r="J668" s="35"/>
    </row>
    <row r="669" spans="2:10" x14ac:dyDescent="0.25">
      <c r="B669" s="35"/>
      <c r="C669" s="35"/>
      <c r="D669" s="35"/>
      <c r="E669" s="106"/>
      <c r="F669" s="35"/>
      <c r="G669" s="393"/>
      <c r="H669" s="393"/>
      <c r="I669" s="373"/>
      <c r="J669" s="35"/>
    </row>
    <row r="670" spans="2:10" x14ac:dyDescent="0.25">
      <c r="B670" s="35"/>
      <c r="C670" s="35"/>
      <c r="D670" s="35"/>
      <c r="E670" s="106"/>
      <c r="F670" s="35"/>
      <c r="G670" s="393"/>
      <c r="H670" s="393"/>
      <c r="I670" s="373"/>
      <c r="J670" s="35"/>
    </row>
    <row r="671" spans="2:10" x14ac:dyDescent="0.25">
      <c r="B671" s="35"/>
      <c r="C671" s="35"/>
      <c r="D671" s="35"/>
      <c r="E671" s="106"/>
      <c r="F671" s="35"/>
      <c r="G671" s="393"/>
      <c r="H671" s="393"/>
      <c r="I671" s="373"/>
      <c r="J671" s="35"/>
    </row>
    <row r="672" spans="2:10" x14ac:dyDescent="0.25">
      <c r="B672" s="35"/>
      <c r="C672" s="35"/>
      <c r="D672" s="35"/>
      <c r="E672" s="106"/>
      <c r="F672" s="35"/>
      <c r="G672" s="393"/>
      <c r="H672" s="393"/>
      <c r="I672" s="373"/>
      <c r="J672" s="35"/>
    </row>
    <row r="673" spans="2:10" x14ac:dyDescent="0.25">
      <c r="B673" s="35"/>
      <c r="C673" s="35"/>
      <c r="D673" s="35"/>
      <c r="E673" s="106"/>
      <c r="F673" s="35"/>
      <c r="G673" s="393"/>
      <c r="H673" s="393"/>
      <c r="I673" s="373"/>
      <c r="J673" s="35"/>
    </row>
    <row r="674" spans="2:10" x14ac:dyDescent="0.25">
      <c r="B674" s="35"/>
      <c r="C674" s="35"/>
      <c r="D674" s="35"/>
      <c r="E674" s="106"/>
      <c r="F674" s="35"/>
      <c r="G674" s="393"/>
      <c r="H674" s="393"/>
      <c r="I674" s="373"/>
      <c r="J674" s="35"/>
    </row>
    <row r="675" spans="2:10" x14ac:dyDescent="0.25">
      <c r="B675" s="35"/>
      <c r="C675" s="35"/>
      <c r="D675" s="35"/>
      <c r="E675" s="106"/>
      <c r="F675" s="35"/>
      <c r="G675" s="393"/>
      <c r="H675" s="393"/>
      <c r="I675" s="373"/>
      <c r="J675" s="35"/>
    </row>
    <row r="676" spans="2:10" x14ac:dyDescent="0.25">
      <c r="B676" s="35"/>
      <c r="C676" s="35"/>
      <c r="D676" s="35"/>
      <c r="E676" s="106"/>
      <c r="F676" s="35"/>
      <c r="G676" s="393"/>
      <c r="H676" s="393"/>
      <c r="I676" s="373"/>
      <c r="J676" s="35"/>
    </row>
    <row r="677" spans="2:10" x14ac:dyDescent="0.25">
      <c r="B677" s="35"/>
      <c r="C677" s="35"/>
      <c r="D677" s="35"/>
      <c r="E677" s="106"/>
      <c r="F677" s="35"/>
      <c r="G677" s="393"/>
      <c r="H677" s="393"/>
      <c r="I677" s="373"/>
      <c r="J677" s="35"/>
    </row>
    <row r="678" spans="2:10" x14ac:dyDescent="0.25">
      <c r="B678" s="35"/>
      <c r="C678" s="35"/>
      <c r="D678" s="35"/>
      <c r="E678" s="106"/>
      <c r="F678" s="35"/>
      <c r="G678" s="393"/>
      <c r="H678" s="393"/>
      <c r="I678" s="373"/>
      <c r="J678" s="35"/>
    </row>
    <row r="679" spans="2:10" x14ac:dyDescent="0.25">
      <c r="B679" s="35"/>
      <c r="C679" s="35"/>
      <c r="D679" s="35"/>
      <c r="E679" s="106"/>
      <c r="F679" s="35"/>
      <c r="G679" s="393"/>
      <c r="H679" s="393"/>
      <c r="I679" s="373"/>
      <c r="J679" s="35"/>
    </row>
    <row r="680" spans="2:10" x14ac:dyDescent="0.25">
      <c r="B680" s="35"/>
      <c r="C680" s="35"/>
      <c r="D680" s="35"/>
      <c r="E680" s="106"/>
      <c r="F680" s="35"/>
      <c r="G680" s="393"/>
      <c r="H680" s="393"/>
      <c r="I680" s="373"/>
      <c r="J680" s="35"/>
    </row>
    <row r="681" spans="2:10" x14ac:dyDescent="0.25">
      <c r="B681" s="35"/>
      <c r="C681" s="35"/>
      <c r="D681" s="35"/>
      <c r="E681" s="106"/>
      <c r="F681" s="35"/>
      <c r="G681" s="393"/>
      <c r="H681" s="393"/>
      <c r="I681" s="373"/>
      <c r="J681" s="35"/>
    </row>
    <row r="682" spans="2:10" x14ac:dyDescent="0.25">
      <c r="B682" s="35"/>
      <c r="C682" s="35"/>
      <c r="D682" s="35"/>
      <c r="E682" s="106"/>
      <c r="F682" s="35"/>
      <c r="G682" s="393"/>
      <c r="H682" s="393"/>
      <c r="I682" s="373"/>
      <c r="J682" s="35"/>
    </row>
    <row r="683" spans="2:10" x14ac:dyDescent="0.25">
      <c r="B683" s="35"/>
      <c r="C683" s="35"/>
      <c r="D683" s="35"/>
      <c r="E683" s="106"/>
      <c r="F683" s="35"/>
      <c r="G683" s="393"/>
      <c r="H683" s="393"/>
      <c r="I683" s="373"/>
      <c r="J683" s="35"/>
    </row>
    <row r="684" spans="2:10" x14ac:dyDescent="0.25">
      <c r="B684" s="35"/>
      <c r="C684" s="35"/>
      <c r="D684" s="35"/>
      <c r="E684" s="106"/>
      <c r="F684" s="35"/>
      <c r="G684" s="393"/>
      <c r="H684" s="393"/>
      <c r="I684" s="373"/>
      <c r="J684" s="35"/>
    </row>
    <row r="685" spans="2:10" x14ac:dyDescent="0.25">
      <c r="B685" s="35"/>
      <c r="C685" s="35"/>
      <c r="D685" s="35"/>
      <c r="E685" s="106"/>
      <c r="F685" s="35"/>
      <c r="G685" s="393"/>
      <c r="H685" s="393"/>
      <c r="I685" s="373"/>
      <c r="J685" s="35"/>
    </row>
    <row r="686" spans="2:10" x14ac:dyDescent="0.25">
      <c r="B686" s="35"/>
      <c r="C686" s="35"/>
      <c r="D686" s="35"/>
      <c r="E686" s="106"/>
      <c r="F686" s="35"/>
      <c r="G686" s="393"/>
      <c r="H686" s="393"/>
      <c r="I686" s="373"/>
      <c r="J686" s="35"/>
    </row>
    <row r="687" spans="2:10" x14ac:dyDescent="0.25">
      <c r="B687" s="35"/>
      <c r="C687" s="35"/>
      <c r="D687" s="35"/>
      <c r="E687" s="106"/>
      <c r="F687" s="35"/>
      <c r="G687" s="393"/>
      <c r="H687" s="393"/>
      <c r="I687" s="373"/>
      <c r="J687" s="35"/>
    </row>
    <row r="688" spans="2:10" x14ac:dyDescent="0.25">
      <c r="B688" s="35"/>
      <c r="C688" s="35"/>
      <c r="D688" s="35"/>
      <c r="E688" s="106"/>
      <c r="F688" s="35"/>
      <c r="G688" s="393"/>
      <c r="H688" s="393"/>
      <c r="I688" s="373"/>
      <c r="J688" s="35"/>
    </row>
    <row r="689" spans="2:10" x14ac:dyDescent="0.25">
      <c r="B689" s="35"/>
      <c r="C689" s="35"/>
      <c r="D689" s="35"/>
      <c r="E689" s="106"/>
      <c r="F689" s="35"/>
      <c r="G689" s="393"/>
      <c r="H689" s="393"/>
      <c r="I689" s="373"/>
      <c r="J689" s="35"/>
    </row>
    <row r="690" spans="2:10" x14ac:dyDescent="0.25">
      <c r="B690" s="35"/>
      <c r="C690" s="35"/>
      <c r="D690" s="35"/>
      <c r="E690" s="106"/>
      <c r="F690" s="35"/>
      <c r="G690" s="393"/>
      <c r="H690" s="393"/>
      <c r="I690" s="373"/>
      <c r="J690" s="35"/>
    </row>
    <row r="691" spans="2:10" x14ac:dyDescent="0.25">
      <c r="B691" s="35"/>
      <c r="C691" s="35"/>
      <c r="D691" s="35"/>
      <c r="E691" s="106"/>
      <c r="F691" s="35"/>
      <c r="G691" s="393"/>
      <c r="H691" s="393"/>
      <c r="I691" s="373"/>
      <c r="J691" s="35"/>
    </row>
    <row r="692" spans="2:10" x14ac:dyDescent="0.25">
      <c r="B692" s="35"/>
      <c r="C692" s="35"/>
      <c r="D692" s="35"/>
      <c r="E692" s="106"/>
      <c r="F692" s="35"/>
      <c r="G692" s="393"/>
      <c r="H692" s="393"/>
      <c r="I692" s="373"/>
      <c r="J692" s="35"/>
    </row>
    <row r="693" spans="2:10" x14ac:dyDescent="0.25">
      <c r="B693" s="35"/>
      <c r="C693" s="35"/>
      <c r="D693" s="35"/>
      <c r="E693" s="106"/>
      <c r="F693" s="35"/>
      <c r="G693" s="393"/>
      <c r="H693" s="393"/>
      <c r="I693" s="373"/>
      <c r="J693" s="35"/>
    </row>
    <row r="694" spans="2:10" x14ac:dyDescent="0.25">
      <c r="B694" s="35"/>
      <c r="C694" s="35"/>
      <c r="D694" s="35"/>
      <c r="E694" s="106"/>
      <c r="F694" s="35"/>
      <c r="G694" s="393"/>
      <c r="H694" s="393"/>
      <c r="I694" s="373"/>
      <c r="J694" s="35"/>
    </row>
    <row r="695" spans="2:10" x14ac:dyDescent="0.25">
      <c r="B695" s="35"/>
      <c r="C695" s="35"/>
      <c r="D695" s="35"/>
      <c r="E695" s="106"/>
      <c r="F695" s="35"/>
      <c r="G695" s="393"/>
      <c r="H695" s="393"/>
      <c r="I695" s="373"/>
      <c r="J695" s="35"/>
    </row>
    <row r="696" spans="2:10" x14ac:dyDescent="0.25">
      <c r="B696" s="35"/>
      <c r="C696" s="35"/>
      <c r="D696" s="35"/>
      <c r="E696" s="106"/>
      <c r="F696" s="35"/>
      <c r="G696" s="393"/>
      <c r="H696" s="393"/>
      <c r="I696" s="373"/>
      <c r="J696" s="35"/>
    </row>
    <row r="697" spans="2:10" x14ac:dyDescent="0.25">
      <c r="B697" s="35"/>
      <c r="C697" s="35"/>
      <c r="D697" s="35"/>
      <c r="E697" s="106"/>
      <c r="F697" s="35"/>
      <c r="G697" s="393"/>
      <c r="H697" s="393"/>
      <c r="I697" s="373"/>
      <c r="J697" s="35"/>
    </row>
    <row r="698" spans="2:10" x14ac:dyDescent="0.25">
      <c r="B698" s="35"/>
      <c r="C698" s="35"/>
      <c r="D698" s="35"/>
      <c r="E698" s="106"/>
      <c r="F698" s="35"/>
      <c r="G698" s="393"/>
      <c r="H698" s="393"/>
      <c r="I698" s="373"/>
      <c r="J698" s="35"/>
    </row>
    <row r="699" spans="2:10" x14ac:dyDescent="0.25">
      <c r="B699" s="35"/>
      <c r="C699" s="35"/>
      <c r="D699" s="35"/>
      <c r="E699" s="106"/>
      <c r="F699" s="35"/>
      <c r="G699" s="393"/>
      <c r="H699" s="393"/>
      <c r="I699" s="373"/>
      <c r="J699" s="35"/>
    </row>
    <row r="700" spans="2:10" x14ac:dyDescent="0.25">
      <c r="B700" s="35"/>
      <c r="C700" s="35"/>
      <c r="D700" s="35"/>
      <c r="E700" s="106"/>
      <c r="F700" s="35"/>
      <c r="G700" s="393"/>
      <c r="H700" s="393"/>
      <c r="I700" s="373"/>
      <c r="J700" s="35"/>
    </row>
    <row r="701" spans="2:10" x14ac:dyDescent="0.25">
      <c r="B701" s="35"/>
      <c r="C701" s="35"/>
      <c r="D701" s="35"/>
      <c r="E701" s="106"/>
      <c r="F701" s="35"/>
      <c r="G701" s="393"/>
      <c r="H701" s="393"/>
      <c r="I701" s="373"/>
      <c r="J701" s="35"/>
    </row>
    <row r="702" spans="2:10" x14ac:dyDescent="0.25">
      <c r="B702" s="35"/>
      <c r="C702" s="35"/>
      <c r="D702" s="35"/>
      <c r="E702" s="106"/>
      <c r="F702" s="35"/>
      <c r="G702" s="393"/>
      <c r="H702" s="393"/>
      <c r="I702" s="373"/>
      <c r="J702" s="35"/>
    </row>
    <row r="703" spans="2:10" x14ac:dyDescent="0.25">
      <c r="B703" s="35"/>
      <c r="C703" s="35"/>
      <c r="D703" s="35"/>
      <c r="E703" s="106"/>
      <c r="F703" s="35"/>
      <c r="G703" s="393"/>
      <c r="H703" s="393"/>
      <c r="I703" s="373"/>
      <c r="J703" s="35"/>
    </row>
    <row r="704" spans="2:10" x14ac:dyDescent="0.25">
      <c r="B704" s="35"/>
      <c r="C704" s="35"/>
      <c r="D704" s="35"/>
      <c r="E704" s="106"/>
      <c r="F704" s="35"/>
      <c r="G704" s="393"/>
      <c r="H704" s="393"/>
      <c r="I704" s="373"/>
      <c r="J704" s="35"/>
    </row>
    <row r="705" spans="2:10" x14ac:dyDescent="0.25">
      <c r="B705" s="35"/>
      <c r="C705" s="35"/>
      <c r="D705" s="35"/>
      <c r="E705" s="106"/>
      <c r="F705" s="35"/>
      <c r="G705" s="393"/>
      <c r="H705" s="393"/>
      <c r="I705" s="373"/>
      <c r="J705" s="35"/>
    </row>
    <row r="706" spans="2:10" x14ac:dyDescent="0.25">
      <c r="B706" s="35"/>
      <c r="C706" s="35"/>
      <c r="D706" s="35"/>
      <c r="E706" s="106"/>
      <c r="F706" s="35"/>
      <c r="G706" s="393"/>
      <c r="H706" s="393"/>
      <c r="I706" s="373"/>
      <c r="J706" s="35"/>
    </row>
    <row r="707" spans="2:10" x14ac:dyDescent="0.25">
      <c r="B707" s="35"/>
      <c r="C707" s="35"/>
      <c r="D707" s="35"/>
      <c r="E707" s="106"/>
      <c r="F707" s="35"/>
      <c r="G707" s="393"/>
      <c r="H707" s="393"/>
      <c r="I707" s="373"/>
      <c r="J707" s="35"/>
    </row>
    <row r="708" spans="2:10" x14ac:dyDescent="0.25">
      <c r="B708" s="35"/>
      <c r="C708" s="35"/>
      <c r="D708" s="35"/>
      <c r="E708" s="106"/>
      <c r="F708" s="35"/>
      <c r="G708" s="393"/>
      <c r="H708" s="393"/>
      <c r="I708" s="373"/>
      <c r="J708" s="35"/>
    </row>
    <row r="709" spans="2:10" x14ac:dyDescent="0.25">
      <c r="B709" s="35"/>
      <c r="C709" s="35"/>
      <c r="D709" s="35"/>
      <c r="E709" s="106"/>
      <c r="F709" s="35"/>
      <c r="G709" s="393"/>
      <c r="H709" s="393"/>
      <c r="I709" s="373"/>
      <c r="J709" s="35"/>
    </row>
    <row r="710" spans="2:10" x14ac:dyDescent="0.25">
      <c r="B710" s="35"/>
      <c r="C710" s="35"/>
      <c r="D710" s="35"/>
      <c r="E710" s="106"/>
      <c r="F710" s="35"/>
      <c r="G710" s="393"/>
      <c r="H710" s="393"/>
      <c r="I710" s="373"/>
      <c r="J710" s="35"/>
    </row>
    <row r="711" spans="2:10" x14ac:dyDescent="0.25">
      <c r="B711" s="35"/>
      <c r="C711" s="35"/>
      <c r="D711" s="35"/>
      <c r="E711" s="106"/>
      <c r="F711" s="35"/>
      <c r="G711" s="393"/>
      <c r="H711" s="393"/>
      <c r="I711" s="373"/>
      <c r="J711" s="35"/>
    </row>
    <row r="712" spans="2:10" x14ac:dyDescent="0.25">
      <c r="B712" s="35"/>
      <c r="C712" s="35"/>
      <c r="D712" s="35"/>
      <c r="E712" s="106"/>
      <c r="F712" s="35"/>
      <c r="G712" s="393"/>
      <c r="H712" s="393"/>
      <c r="I712" s="373"/>
      <c r="J712" s="35"/>
    </row>
    <row r="713" spans="2:10" x14ac:dyDescent="0.25">
      <c r="B713" s="35"/>
      <c r="C713" s="35"/>
      <c r="D713" s="35"/>
      <c r="E713" s="106"/>
      <c r="F713" s="35"/>
      <c r="G713" s="393"/>
      <c r="H713" s="393"/>
      <c r="I713" s="373"/>
      <c r="J713" s="35"/>
    </row>
    <row r="714" spans="2:10" x14ac:dyDescent="0.25">
      <c r="B714" s="35"/>
      <c r="C714" s="35"/>
      <c r="D714" s="35"/>
      <c r="E714" s="106"/>
      <c r="F714" s="35"/>
      <c r="G714" s="393"/>
      <c r="H714" s="393"/>
      <c r="I714" s="373"/>
      <c r="J714" s="35"/>
    </row>
    <row r="715" spans="2:10" x14ac:dyDescent="0.25">
      <c r="B715" s="35"/>
      <c r="C715" s="35"/>
      <c r="D715" s="35"/>
      <c r="E715" s="106"/>
      <c r="F715" s="35"/>
      <c r="G715" s="393"/>
      <c r="H715" s="393"/>
      <c r="I715" s="373"/>
      <c r="J715" s="35"/>
    </row>
    <row r="716" spans="2:10" x14ac:dyDescent="0.25">
      <c r="B716" s="35"/>
      <c r="C716" s="35"/>
      <c r="D716" s="35"/>
      <c r="E716" s="106"/>
      <c r="F716" s="35"/>
      <c r="G716" s="393"/>
      <c r="H716" s="393"/>
      <c r="I716" s="373"/>
      <c r="J716" s="35"/>
    </row>
    <row r="717" spans="2:10" x14ac:dyDescent="0.25">
      <c r="B717" s="35"/>
      <c r="C717" s="35"/>
      <c r="D717" s="35"/>
      <c r="E717" s="106"/>
      <c r="F717" s="35"/>
      <c r="G717" s="393"/>
      <c r="H717" s="393"/>
      <c r="I717" s="373"/>
      <c r="J717" s="35"/>
    </row>
    <row r="718" spans="2:10" x14ac:dyDescent="0.25">
      <c r="B718" s="35"/>
      <c r="C718" s="35"/>
      <c r="D718" s="35"/>
      <c r="E718" s="106"/>
      <c r="F718" s="35"/>
      <c r="G718" s="393"/>
      <c r="H718" s="393"/>
      <c r="I718" s="373"/>
      <c r="J718" s="35"/>
    </row>
    <row r="719" spans="2:10" x14ac:dyDescent="0.25">
      <c r="B719" s="35"/>
      <c r="C719" s="35"/>
      <c r="D719" s="35"/>
      <c r="E719" s="106"/>
      <c r="F719" s="35"/>
      <c r="G719" s="393"/>
      <c r="H719" s="393"/>
      <c r="I719" s="373"/>
      <c r="J719" s="35"/>
    </row>
    <row r="720" spans="2:10" x14ac:dyDescent="0.25">
      <c r="B720" s="35"/>
      <c r="C720" s="35"/>
      <c r="D720" s="35"/>
      <c r="E720" s="106"/>
      <c r="F720" s="35"/>
      <c r="G720" s="393"/>
      <c r="H720" s="393"/>
      <c r="I720" s="373"/>
      <c r="J720" s="35"/>
    </row>
    <row r="721" spans="2:10" x14ac:dyDescent="0.25">
      <c r="B721" s="35"/>
      <c r="C721" s="35"/>
      <c r="D721" s="35"/>
      <c r="E721" s="106"/>
      <c r="F721" s="35"/>
      <c r="G721" s="393"/>
      <c r="H721" s="393"/>
      <c r="I721" s="373"/>
      <c r="J721" s="35"/>
    </row>
    <row r="722" spans="2:10" x14ac:dyDescent="0.25">
      <c r="B722" s="35"/>
      <c r="C722" s="35"/>
      <c r="D722" s="35"/>
      <c r="E722" s="106"/>
      <c r="F722" s="35"/>
      <c r="G722" s="393"/>
      <c r="H722" s="393"/>
      <c r="I722" s="373"/>
      <c r="J722" s="35"/>
    </row>
    <row r="723" spans="2:10" x14ac:dyDescent="0.25">
      <c r="B723" s="35"/>
      <c r="C723" s="35"/>
      <c r="D723" s="35"/>
      <c r="E723" s="106"/>
      <c r="F723" s="35"/>
      <c r="G723" s="393"/>
      <c r="H723" s="393"/>
      <c r="I723" s="373"/>
      <c r="J723" s="35"/>
    </row>
    <row r="724" spans="2:10" x14ac:dyDescent="0.25">
      <c r="B724" s="35"/>
      <c r="C724" s="35"/>
      <c r="D724" s="35"/>
      <c r="E724" s="106"/>
      <c r="F724" s="35"/>
      <c r="G724" s="393"/>
      <c r="H724" s="393"/>
      <c r="I724" s="373"/>
      <c r="J724" s="35"/>
    </row>
    <row r="725" spans="2:10" x14ac:dyDescent="0.25">
      <c r="B725" s="35"/>
      <c r="C725" s="35"/>
      <c r="D725" s="35"/>
      <c r="E725" s="106"/>
      <c r="F725" s="35"/>
      <c r="G725" s="393"/>
      <c r="H725" s="393"/>
      <c r="I725" s="373"/>
      <c r="J725" s="35"/>
    </row>
    <row r="726" spans="2:10" x14ac:dyDescent="0.25">
      <c r="B726" s="35"/>
      <c r="C726" s="35"/>
      <c r="D726" s="35"/>
      <c r="E726" s="106"/>
      <c r="F726" s="35"/>
      <c r="G726" s="393"/>
      <c r="H726" s="393"/>
      <c r="I726" s="373"/>
      <c r="J726" s="35"/>
    </row>
    <row r="727" spans="2:10" x14ac:dyDescent="0.25">
      <c r="B727" s="35"/>
      <c r="C727" s="35"/>
      <c r="D727" s="35"/>
      <c r="E727" s="106"/>
      <c r="F727" s="35"/>
      <c r="G727" s="393"/>
      <c r="H727" s="393"/>
      <c r="I727" s="373"/>
      <c r="J727" s="35"/>
    </row>
    <row r="728" spans="2:10" x14ac:dyDescent="0.25">
      <c r="B728" s="35"/>
      <c r="C728" s="35"/>
      <c r="D728" s="35"/>
      <c r="E728" s="106"/>
      <c r="F728" s="35"/>
      <c r="G728" s="393"/>
      <c r="H728" s="393"/>
      <c r="I728" s="373"/>
      <c r="J728" s="35"/>
    </row>
    <row r="729" spans="2:10" x14ac:dyDescent="0.25">
      <c r="B729" s="35"/>
      <c r="C729" s="35"/>
      <c r="D729" s="35"/>
      <c r="E729" s="106"/>
      <c r="F729" s="35"/>
      <c r="G729" s="393"/>
      <c r="H729" s="393"/>
      <c r="I729" s="373"/>
      <c r="J729" s="35"/>
    </row>
    <row r="730" spans="2:10" x14ac:dyDescent="0.25">
      <c r="B730" s="35"/>
      <c r="C730" s="35"/>
      <c r="D730" s="35"/>
      <c r="E730" s="106"/>
      <c r="F730" s="35"/>
      <c r="G730" s="393"/>
      <c r="H730" s="393"/>
      <c r="I730" s="373"/>
      <c r="J730" s="35"/>
    </row>
    <row r="731" spans="2:10" x14ac:dyDescent="0.25">
      <c r="B731" s="35"/>
      <c r="C731" s="35"/>
      <c r="D731" s="35"/>
      <c r="E731" s="106"/>
      <c r="F731" s="35"/>
      <c r="G731" s="393"/>
      <c r="H731" s="393"/>
      <c r="I731" s="373"/>
      <c r="J731" s="35"/>
    </row>
    <row r="732" spans="2:10" x14ac:dyDescent="0.25">
      <c r="B732" s="35"/>
      <c r="C732" s="35"/>
      <c r="D732" s="35"/>
      <c r="E732" s="106"/>
      <c r="F732" s="35"/>
      <c r="G732" s="393"/>
      <c r="H732" s="393"/>
      <c r="I732" s="373"/>
      <c r="J732" s="35"/>
    </row>
    <row r="733" spans="2:10" x14ac:dyDescent="0.25">
      <c r="B733" s="35"/>
      <c r="C733" s="35"/>
      <c r="D733" s="35"/>
      <c r="E733" s="106"/>
      <c r="F733" s="35"/>
      <c r="G733" s="393"/>
      <c r="H733" s="393"/>
      <c r="I733" s="373"/>
      <c r="J733" s="35"/>
    </row>
    <row r="734" spans="2:10" x14ac:dyDescent="0.25">
      <c r="B734" s="35"/>
      <c r="C734" s="35"/>
      <c r="D734" s="35"/>
      <c r="E734" s="106"/>
      <c r="F734" s="35"/>
      <c r="G734" s="393"/>
      <c r="H734" s="393"/>
      <c r="I734" s="373"/>
      <c r="J734" s="35"/>
    </row>
    <row r="735" spans="2:10" x14ac:dyDescent="0.25">
      <c r="B735" s="35"/>
      <c r="C735" s="35"/>
      <c r="D735" s="35"/>
      <c r="E735" s="106"/>
      <c r="F735" s="35"/>
      <c r="G735" s="393"/>
      <c r="H735" s="393"/>
      <c r="I735" s="373"/>
      <c r="J735" s="35"/>
    </row>
    <row r="736" spans="2:10" x14ac:dyDescent="0.25">
      <c r="B736" s="35"/>
      <c r="C736" s="35"/>
      <c r="D736" s="35"/>
      <c r="E736" s="106"/>
      <c r="F736" s="35"/>
      <c r="G736" s="393"/>
      <c r="H736" s="393"/>
      <c r="I736" s="373"/>
      <c r="J736" s="35"/>
    </row>
    <row r="737" spans="2:10" x14ac:dyDescent="0.25">
      <c r="B737" s="35"/>
      <c r="C737" s="35"/>
      <c r="D737" s="35"/>
      <c r="E737" s="106"/>
      <c r="F737" s="35"/>
      <c r="G737" s="393"/>
      <c r="H737" s="393"/>
      <c r="I737" s="373"/>
      <c r="J737" s="35"/>
    </row>
    <row r="738" spans="2:10" x14ac:dyDescent="0.25">
      <c r="B738" s="35"/>
      <c r="C738" s="35"/>
      <c r="D738" s="35"/>
      <c r="E738" s="106"/>
      <c r="F738" s="35"/>
      <c r="G738" s="393"/>
      <c r="H738" s="393"/>
      <c r="I738" s="373"/>
      <c r="J738" s="35"/>
    </row>
    <row r="739" spans="2:10" x14ac:dyDescent="0.25">
      <c r="B739" s="35"/>
      <c r="C739" s="35"/>
      <c r="D739" s="35"/>
      <c r="E739" s="106"/>
      <c r="F739" s="35"/>
      <c r="G739" s="393"/>
      <c r="H739" s="393"/>
      <c r="I739" s="373"/>
      <c r="J739" s="35"/>
    </row>
    <row r="740" spans="2:10" x14ac:dyDescent="0.25">
      <c r="B740" s="35"/>
      <c r="C740" s="35"/>
      <c r="D740" s="35"/>
      <c r="E740" s="106"/>
      <c r="F740" s="35"/>
      <c r="G740" s="393"/>
      <c r="H740" s="393"/>
      <c r="I740" s="373"/>
      <c r="J740" s="35"/>
    </row>
    <row r="741" spans="2:10" x14ac:dyDescent="0.25">
      <c r="B741" s="35"/>
      <c r="C741" s="35"/>
      <c r="D741" s="35"/>
      <c r="E741" s="106"/>
      <c r="F741" s="35"/>
      <c r="G741" s="393"/>
      <c r="H741" s="393"/>
      <c r="I741" s="373"/>
      <c r="J741" s="35"/>
    </row>
    <row r="742" spans="2:10" x14ac:dyDescent="0.25">
      <c r="B742" s="35"/>
      <c r="C742" s="35"/>
      <c r="D742" s="35"/>
      <c r="E742" s="106"/>
      <c r="F742" s="35"/>
      <c r="G742" s="393"/>
      <c r="H742" s="393"/>
      <c r="I742" s="373"/>
      <c r="J742" s="35"/>
    </row>
    <row r="743" spans="2:10" x14ac:dyDescent="0.25">
      <c r="B743" s="35"/>
      <c r="C743" s="35"/>
      <c r="D743" s="35"/>
      <c r="E743" s="106"/>
      <c r="F743" s="35"/>
      <c r="G743" s="393"/>
      <c r="H743" s="393"/>
      <c r="I743" s="373"/>
      <c r="J743" s="35"/>
    </row>
    <row r="744" spans="2:10" x14ac:dyDescent="0.25">
      <c r="B744" s="35"/>
      <c r="C744" s="35"/>
      <c r="D744" s="35"/>
      <c r="E744" s="106"/>
      <c r="F744" s="35"/>
      <c r="G744" s="393"/>
      <c r="H744" s="393"/>
      <c r="I744" s="373"/>
      <c r="J744" s="35"/>
    </row>
    <row r="745" spans="2:10" x14ac:dyDescent="0.25">
      <c r="B745" s="35"/>
      <c r="C745" s="35"/>
      <c r="D745" s="35"/>
      <c r="E745" s="106"/>
      <c r="F745" s="35"/>
      <c r="G745" s="393"/>
      <c r="H745" s="393"/>
      <c r="I745" s="373"/>
      <c r="J745" s="35"/>
    </row>
    <row r="746" spans="2:10" x14ac:dyDescent="0.25">
      <c r="B746" s="35"/>
      <c r="C746" s="35"/>
      <c r="D746" s="35"/>
      <c r="E746" s="106"/>
      <c r="F746" s="35"/>
      <c r="G746" s="393"/>
      <c r="H746" s="393"/>
      <c r="I746" s="373"/>
      <c r="J746" s="35"/>
    </row>
    <row r="747" spans="2:10" x14ac:dyDescent="0.25">
      <c r="B747" s="35"/>
      <c r="C747" s="35"/>
      <c r="D747" s="35"/>
      <c r="E747" s="106"/>
      <c r="F747" s="35"/>
      <c r="G747" s="393"/>
      <c r="H747" s="393"/>
      <c r="I747" s="373"/>
      <c r="J747" s="35"/>
    </row>
    <row r="748" spans="2:10" x14ac:dyDescent="0.25">
      <c r="B748" s="35"/>
      <c r="C748" s="35"/>
      <c r="D748" s="35"/>
      <c r="E748" s="106"/>
      <c r="F748" s="35"/>
      <c r="G748" s="393"/>
      <c r="H748" s="393"/>
      <c r="I748" s="373"/>
      <c r="J748" s="35"/>
    </row>
    <row r="749" spans="2:10" x14ac:dyDescent="0.25">
      <c r="B749" s="35"/>
      <c r="C749" s="35"/>
      <c r="D749" s="35"/>
      <c r="E749" s="106"/>
      <c r="F749" s="35"/>
      <c r="G749" s="393"/>
      <c r="H749" s="393"/>
      <c r="I749" s="373"/>
      <c r="J749" s="35"/>
    </row>
    <row r="750" spans="2:10" x14ac:dyDescent="0.25">
      <c r="B750" s="35"/>
      <c r="C750" s="35"/>
      <c r="D750" s="35"/>
      <c r="E750" s="106"/>
      <c r="F750" s="35"/>
      <c r="G750" s="393"/>
      <c r="H750" s="393"/>
      <c r="I750" s="373"/>
      <c r="J750" s="35"/>
    </row>
    <row r="751" spans="2:10" x14ac:dyDescent="0.25">
      <c r="B751" s="35"/>
      <c r="C751" s="35"/>
      <c r="D751" s="35"/>
      <c r="E751" s="106"/>
      <c r="F751" s="35"/>
      <c r="G751" s="393"/>
      <c r="H751" s="393"/>
      <c r="I751" s="373"/>
      <c r="J751" s="35"/>
    </row>
    <row r="752" spans="2:10" x14ac:dyDescent="0.25">
      <c r="B752" s="35"/>
      <c r="C752" s="35"/>
      <c r="D752" s="35"/>
      <c r="E752" s="106"/>
      <c r="F752" s="35"/>
      <c r="G752" s="393"/>
      <c r="H752" s="393"/>
      <c r="I752" s="373"/>
      <c r="J752" s="35"/>
    </row>
    <row r="753" spans="2:10" x14ac:dyDescent="0.25">
      <c r="B753" s="35"/>
      <c r="C753" s="35"/>
      <c r="D753" s="35"/>
      <c r="E753" s="106"/>
      <c r="F753" s="35"/>
      <c r="G753" s="393"/>
      <c r="H753" s="393"/>
      <c r="I753" s="373"/>
      <c r="J753" s="35"/>
    </row>
    <row r="754" spans="2:10" x14ac:dyDescent="0.25">
      <c r="B754" s="35"/>
      <c r="C754" s="35"/>
      <c r="D754" s="35"/>
      <c r="E754" s="106"/>
      <c r="F754" s="35"/>
      <c r="G754" s="393"/>
      <c r="H754" s="393"/>
      <c r="I754" s="373"/>
      <c r="J754" s="35"/>
    </row>
    <row r="755" spans="2:10" x14ac:dyDescent="0.25">
      <c r="B755" s="35"/>
      <c r="C755" s="35"/>
      <c r="D755" s="35"/>
      <c r="E755" s="106"/>
      <c r="F755" s="35"/>
      <c r="G755" s="393"/>
      <c r="H755" s="393"/>
      <c r="I755" s="373"/>
      <c r="J755" s="35"/>
    </row>
    <row r="756" spans="2:10" x14ac:dyDescent="0.25">
      <c r="B756" s="35"/>
      <c r="C756" s="35"/>
      <c r="D756" s="35"/>
      <c r="E756" s="106"/>
      <c r="F756" s="35"/>
      <c r="G756" s="393"/>
      <c r="H756" s="393"/>
      <c r="I756" s="373"/>
      <c r="J756" s="35"/>
    </row>
    <row r="757" spans="2:10" x14ac:dyDescent="0.25">
      <c r="B757" s="35"/>
      <c r="C757" s="35"/>
      <c r="D757" s="35"/>
      <c r="E757" s="106"/>
      <c r="F757" s="35"/>
      <c r="G757" s="393"/>
      <c r="H757" s="393"/>
      <c r="I757" s="373"/>
      <c r="J757" s="35"/>
    </row>
    <row r="758" spans="2:10" x14ac:dyDescent="0.25">
      <c r="B758" s="35"/>
      <c r="C758" s="35"/>
      <c r="D758" s="35"/>
      <c r="E758" s="106"/>
      <c r="F758" s="35"/>
      <c r="G758" s="393"/>
      <c r="H758" s="393"/>
      <c r="I758" s="373"/>
      <c r="J758" s="35"/>
    </row>
    <row r="759" spans="2:10" x14ac:dyDescent="0.25">
      <c r="B759" s="35"/>
      <c r="C759" s="35"/>
      <c r="D759" s="35"/>
      <c r="E759" s="106"/>
      <c r="F759" s="35"/>
      <c r="G759" s="393"/>
      <c r="H759" s="393"/>
      <c r="I759" s="373"/>
      <c r="J759" s="35"/>
    </row>
    <row r="760" spans="2:10" x14ac:dyDescent="0.25">
      <c r="B760" s="35"/>
      <c r="C760" s="35"/>
      <c r="D760" s="35"/>
      <c r="E760" s="106"/>
      <c r="F760" s="35"/>
      <c r="G760" s="393"/>
      <c r="H760" s="393"/>
      <c r="I760" s="373"/>
      <c r="J760" s="35"/>
    </row>
    <row r="761" spans="2:10" x14ac:dyDescent="0.25">
      <c r="B761" s="35"/>
      <c r="C761" s="35"/>
      <c r="D761" s="35"/>
      <c r="E761" s="106"/>
      <c r="F761" s="35"/>
      <c r="G761" s="393"/>
      <c r="H761" s="393"/>
      <c r="I761" s="373"/>
      <c r="J761" s="35"/>
    </row>
    <row r="762" spans="2:10" x14ac:dyDescent="0.25">
      <c r="B762" s="35"/>
      <c r="C762" s="35"/>
      <c r="D762" s="35"/>
      <c r="E762" s="106"/>
      <c r="F762" s="35"/>
      <c r="G762" s="393"/>
      <c r="H762" s="393"/>
      <c r="I762" s="373"/>
      <c r="J762" s="35"/>
    </row>
    <row r="763" spans="2:10" x14ac:dyDescent="0.25">
      <c r="B763" s="35"/>
      <c r="C763" s="35"/>
      <c r="D763" s="35"/>
      <c r="E763" s="106"/>
      <c r="F763" s="35"/>
      <c r="G763" s="393"/>
      <c r="H763" s="393"/>
      <c r="I763" s="373"/>
      <c r="J763" s="35"/>
    </row>
    <row r="764" spans="2:10" x14ac:dyDescent="0.25">
      <c r="B764" s="35"/>
      <c r="C764" s="35"/>
      <c r="D764" s="35"/>
      <c r="E764" s="106"/>
      <c r="F764" s="35"/>
      <c r="G764" s="393"/>
      <c r="H764" s="393"/>
      <c r="I764" s="373"/>
      <c r="J764" s="35"/>
    </row>
    <row r="765" spans="2:10" x14ac:dyDescent="0.25">
      <c r="B765" s="35"/>
      <c r="C765" s="35"/>
      <c r="D765" s="35"/>
      <c r="E765" s="106"/>
      <c r="F765" s="35"/>
      <c r="G765" s="393"/>
      <c r="H765" s="393"/>
      <c r="I765" s="373"/>
      <c r="J765" s="35"/>
    </row>
    <row r="766" spans="2:10" x14ac:dyDescent="0.25">
      <c r="B766" s="35"/>
      <c r="C766" s="35"/>
      <c r="D766" s="35"/>
      <c r="E766" s="106"/>
      <c r="F766" s="35"/>
      <c r="G766" s="393"/>
      <c r="H766" s="393"/>
      <c r="I766" s="373"/>
      <c r="J766" s="35"/>
    </row>
    <row r="767" spans="2:10" x14ac:dyDescent="0.25">
      <c r="B767" s="35"/>
      <c r="C767" s="35"/>
      <c r="D767" s="35"/>
      <c r="E767" s="106"/>
      <c r="F767" s="35"/>
      <c r="G767" s="393"/>
      <c r="H767" s="393"/>
      <c r="I767" s="373"/>
      <c r="J767" s="35"/>
    </row>
    <row r="768" spans="2:10" x14ac:dyDescent="0.25">
      <c r="B768" s="35"/>
      <c r="C768" s="35"/>
      <c r="D768" s="35"/>
      <c r="E768" s="106"/>
      <c r="F768" s="35"/>
      <c r="G768" s="393"/>
      <c r="H768" s="393"/>
      <c r="I768" s="373"/>
      <c r="J768" s="35"/>
    </row>
    <row r="769" spans="2:10" x14ac:dyDescent="0.25">
      <c r="B769" s="35"/>
      <c r="C769" s="35"/>
      <c r="D769" s="35"/>
      <c r="E769" s="106"/>
      <c r="F769" s="35"/>
      <c r="G769" s="393"/>
      <c r="H769" s="393"/>
      <c r="I769" s="373"/>
      <c r="J769" s="35"/>
    </row>
    <row r="770" spans="2:10" x14ac:dyDescent="0.25">
      <c r="B770" s="35"/>
      <c r="C770" s="35"/>
      <c r="D770" s="35"/>
      <c r="E770" s="106"/>
      <c r="F770" s="35"/>
      <c r="G770" s="393"/>
      <c r="H770" s="393"/>
      <c r="I770" s="373"/>
      <c r="J770" s="35"/>
    </row>
    <row r="771" spans="2:10" x14ac:dyDescent="0.25">
      <c r="B771" s="35"/>
      <c r="C771" s="35"/>
      <c r="D771" s="35"/>
      <c r="E771" s="106"/>
      <c r="F771" s="35"/>
      <c r="G771" s="393"/>
      <c r="H771" s="393"/>
      <c r="I771" s="373"/>
      <c r="J771" s="35"/>
    </row>
    <row r="772" spans="2:10" x14ac:dyDescent="0.25">
      <c r="B772" s="35"/>
      <c r="C772" s="35"/>
      <c r="D772" s="35"/>
      <c r="E772" s="106"/>
      <c r="F772" s="35"/>
      <c r="G772" s="393"/>
      <c r="H772" s="393"/>
      <c r="I772" s="373"/>
      <c r="J772" s="35"/>
    </row>
    <row r="773" spans="2:10" x14ac:dyDescent="0.25">
      <c r="B773" s="35"/>
      <c r="C773" s="35"/>
      <c r="D773" s="35"/>
      <c r="E773" s="106"/>
      <c r="F773" s="35"/>
      <c r="G773" s="393"/>
      <c r="H773" s="393"/>
      <c r="I773" s="373"/>
      <c r="J773" s="35"/>
    </row>
    <row r="774" spans="2:10" x14ac:dyDescent="0.25">
      <c r="B774" s="35"/>
      <c r="C774" s="35"/>
      <c r="D774" s="35"/>
      <c r="E774" s="106"/>
      <c r="F774" s="35"/>
      <c r="G774" s="393"/>
      <c r="H774" s="393"/>
      <c r="I774" s="373"/>
      <c r="J774" s="35"/>
    </row>
    <row r="775" spans="2:10" x14ac:dyDescent="0.25">
      <c r="B775" s="35"/>
      <c r="C775" s="35"/>
      <c r="D775" s="35"/>
      <c r="E775" s="106"/>
      <c r="F775" s="35"/>
      <c r="G775" s="393"/>
      <c r="H775" s="393"/>
      <c r="I775" s="373"/>
      <c r="J775" s="35"/>
    </row>
    <row r="776" spans="2:10" x14ac:dyDescent="0.25">
      <c r="B776" s="35"/>
      <c r="C776" s="35"/>
      <c r="D776" s="35"/>
      <c r="E776" s="106"/>
      <c r="F776" s="35"/>
      <c r="G776" s="393"/>
      <c r="H776" s="393"/>
      <c r="I776" s="373"/>
      <c r="J776" s="35"/>
    </row>
    <row r="777" spans="2:10" x14ac:dyDescent="0.25">
      <c r="B777" s="35"/>
      <c r="C777" s="35"/>
      <c r="D777" s="35"/>
      <c r="E777" s="106"/>
      <c r="F777" s="35"/>
      <c r="G777" s="393"/>
      <c r="H777" s="393"/>
      <c r="I777" s="373"/>
      <c r="J777" s="35"/>
    </row>
    <row r="778" spans="2:10" x14ac:dyDescent="0.25">
      <c r="B778" s="35"/>
      <c r="C778" s="35"/>
      <c r="D778" s="35"/>
      <c r="E778" s="106"/>
      <c r="F778" s="35"/>
      <c r="G778" s="393"/>
      <c r="H778" s="393"/>
      <c r="I778" s="373"/>
      <c r="J778" s="35"/>
    </row>
    <row r="779" spans="2:10" x14ac:dyDescent="0.25">
      <c r="B779" s="35"/>
      <c r="C779" s="35"/>
      <c r="D779" s="35"/>
      <c r="E779" s="106"/>
      <c r="F779" s="35"/>
      <c r="G779" s="393"/>
      <c r="H779" s="393"/>
      <c r="I779" s="373"/>
      <c r="J779" s="35"/>
    </row>
    <row r="780" spans="2:10" x14ac:dyDescent="0.25">
      <c r="B780" s="35"/>
      <c r="C780" s="35"/>
      <c r="D780" s="35"/>
      <c r="E780" s="106"/>
      <c r="F780" s="35"/>
      <c r="G780" s="393"/>
      <c r="H780" s="393"/>
      <c r="I780" s="373"/>
      <c r="J780" s="35"/>
    </row>
    <row r="781" spans="2:10" x14ac:dyDescent="0.25">
      <c r="B781" s="35"/>
      <c r="C781" s="35"/>
      <c r="D781" s="35"/>
      <c r="E781" s="106"/>
      <c r="F781" s="35"/>
      <c r="G781" s="393"/>
      <c r="H781" s="393"/>
      <c r="I781" s="373"/>
      <c r="J781" s="35"/>
    </row>
    <row r="782" spans="2:10" x14ac:dyDescent="0.25">
      <c r="B782" s="35"/>
      <c r="C782" s="35"/>
      <c r="D782" s="35"/>
      <c r="E782" s="106"/>
      <c r="F782" s="35"/>
      <c r="G782" s="393"/>
      <c r="H782" s="393"/>
      <c r="I782" s="373"/>
      <c r="J782" s="35"/>
    </row>
    <row r="783" spans="2:10" x14ac:dyDescent="0.25">
      <c r="B783" s="35"/>
      <c r="C783" s="35"/>
      <c r="D783" s="35"/>
      <c r="E783" s="106"/>
      <c r="F783" s="35"/>
      <c r="G783" s="393"/>
      <c r="H783" s="393"/>
      <c r="I783" s="373"/>
      <c r="J783" s="35"/>
    </row>
    <row r="784" spans="2:10" x14ac:dyDescent="0.25">
      <c r="B784" s="35"/>
      <c r="C784" s="35"/>
      <c r="D784" s="35"/>
      <c r="E784" s="106"/>
      <c r="F784" s="35"/>
      <c r="G784" s="393"/>
      <c r="H784" s="393"/>
      <c r="I784" s="373"/>
      <c r="J784" s="35"/>
    </row>
    <row r="785" spans="2:10" x14ac:dyDescent="0.25">
      <c r="B785" s="35"/>
      <c r="C785" s="35"/>
      <c r="D785" s="35"/>
      <c r="E785" s="106"/>
      <c r="F785" s="35"/>
      <c r="G785" s="393"/>
      <c r="H785" s="393"/>
      <c r="I785" s="373"/>
      <c r="J785" s="35"/>
    </row>
    <row r="786" spans="2:10" x14ac:dyDescent="0.25">
      <c r="B786" s="35"/>
      <c r="C786" s="35"/>
      <c r="D786" s="35"/>
      <c r="E786" s="106"/>
      <c r="F786" s="35"/>
      <c r="G786" s="393"/>
      <c r="H786" s="393"/>
      <c r="I786" s="373"/>
      <c r="J786" s="35"/>
    </row>
    <row r="787" spans="2:10" x14ac:dyDescent="0.25">
      <c r="B787" s="35"/>
      <c r="C787" s="35"/>
      <c r="D787" s="35"/>
      <c r="E787" s="106"/>
      <c r="F787" s="35"/>
      <c r="G787" s="393"/>
      <c r="H787" s="393"/>
      <c r="I787" s="373"/>
      <c r="J787" s="35"/>
    </row>
    <row r="788" spans="2:10" x14ac:dyDescent="0.25">
      <c r="B788" s="35"/>
      <c r="C788" s="35"/>
      <c r="D788" s="35"/>
      <c r="E788" s="106"/>
      <c r="F788" s="35"/>
      <c r="G788" s="393"/>
      <c r="H788" s="393"/>
      <c r="I788" s="373"/>
      <c r="J788" s="35"/>
    </row>
    <row r="789" spans="2:10" x14ac:dyDescent="0.25">
      <c r="B789" s="35"/>
      <c r="C789" s="35"/>
      <c r="D789" s="35"/>
      <c r="E789" s="106"/>
      <c r="F789" s="35"/>
      <c r="G789" s="393"/>
      <c r="H789" s="393"/>
      <c r="I789" s="373"/>
      <c r="J789" s="35"/>
    </row>
    <row r="790" spans="2:10" x14ac:dyDescent="0.25">
      <c r="B790" s="35"/>
      <c r="C790" s="35"/>
      <c r="D790" s="35"/>
      <c r="E790" s="106"/>
      <c r="F790" s="35"/>
      <c r="G790" s="393"/>
      <c r="H790" s="393"/>
      <c r="I790" s="373"/>
      <c r="J790" s="35"/>
    </row>
    <row r="791" spans="2:10" x14ac:dyDescent="0.25">
      <c r="B791" s="35"/>
      <c r="C791" s="35"/>
      <c r="D791" s="35"/>
      <c r="E791" s="106"/>
      <c r="F791" s="35"/>
      <c r="G791" s="393"/>
      <c r="H791" s="393"/>
      <c r="I791" s="373"/>
      <c r="J791" s="35"/>
    </row>
    <row r="792" spans="2:10" x14ac:dyDescent="0.25">
      <c r="B792" s="35"/>
      <c r="C792" s="35"/>
      <c r="D792" s="35"/>
      <c r="E792" s="106"/>
      <c r="F792" s="35"/>
      <c r="G792" s="393"/>
      <c r="H792" s="393"/>
      <c r="I792" s="373"/>
      <c r="J792" s="35"/>
    </row>
    <row r="793" spans="2:10" x14ac:dyDescent="0.25">
      <c r="B793" s="35"/>
      <c r="C793" s="35"/>
      <c r="D793" s="35"/>
      <c r="E793" s="106"/>
      <c r="F793" s="35"/>
      <c r="G793" s="393"/>
      <c r="H793" s="393"/>
      <c r="I793" s="373"/>
      <c r="J793" s="35"/>
    </row>
    <row r="794" spans="2:10" x14ac:dyDescent="0.25">
      <c r="B794" s="35"/>
      <c r="C794" s="35"/>
      <c r="D794" s="35"/>
      <c r="E794" s="106"/>
      <c r="F794" s="35"/>
      <c r="G794" s="393"/>
      <c r="H794" s="393"/>
      <c r="I794" s="373"/>
      <c r="J794" s="35"/>
    </row>
    <row r="795" spans="2:10" x14ac:dyDescent="0.25">
      <c r="B795" s="35"/>
      <c r="C795" s="35"/>
      <c r="D795" s="35"/>
      <c r="E795" s="106"/>
      <c r="F795" s="35"/>
      <c r="G795" s="393"/>
      <c r="H795" s="393"/>
      <c r="I795" s="373"/>
      <c r="J795" s="35"/>
    </row>
    <row r="796" spans="2:10" x14ac:dyDescent="0.25">
      <c r="B796" s="35"/>
      <c r="C796" s="35"/>
      <c r="D796" s="35"/>
      <c r="E796" s="106"/>
      <c r="F796" s="35"/>
      <c r="G796" s="393"/>
      <c r="H796" s="393"/>
      <c r="I796" s="373"/>
      <c r="J796" s="35"/>
    </row>
    <row r="797" spans="2:10" x14ac:dyDescent="0.25">
      <c r="B797" s="35"/>
      <c r="C797" s="35"/>
      <c r="D797" s="35"/>
      <c r="E797" s="106"/>
      <c r="F797" s="35"/>
      <c r="G797" s="393"/>
      <c r="H797" s="393"/>
      <c r="I797" s="373"/>
      <c r="J797" s="35"/>
    </row>
    <row r="798" spans="2:10" x14ac:dyDescent="0.25">
      <c r="B798" s="35"/>
      <c r="C798" s="35"/>
      <c r="D798" s="35"/>
      <c r="E798" s="106"/>
      <c r="F798" s="35"/>
      <c r="G798" s="393"/>
      <c r="H798" s="393"/>
      <c r="I798" s="373"/>
      <c r="J798" s="35"/>
    </row>
    <row r="799" spans="2:10" x14ac:dyDescent="0.25">
      <c r="B799" s="35"/>
      <c r="C799" s="35"/>
      <c r="D799" s="35"/>
      <c r="E799" s="106"/>
      <c r="F799" s="35"/>
      <c r="G799" s="393"/>
      <c r="H799" s="393"/>
      <c r="I799" s="373"/>
      <c r="J799" s="35"/>
    </row>
    <row r="800" spans="2:10" x14ac:dyDescent="0.25">
      <c r="B800" s="35"/>
      <c r="C800" s="35"/>
      <c r="D800" s="35"/>
      <c r="E800" s="106"/>
      <c r="F800" s="35"/>
      <c r="G800" s="393"/>
      <c r="H800" s="393"/>
      <c r="I800" s="373"/>
      <c r="J800" s="35"/>
    </row>
    <row r="801" spans="2:10" x14ac:dyDescent="0.25">
      <c r="B801" s="35"/>
      <c r="C801" s="35"/>
      <c r="D801" s="35"/>
      <c r="E801" s="106"/>
      <c r="F801" s="35"/>
      <c r="G801" s="393"/>
      <c r="H801" s="393"/>
      <c r="I801" s="373"/>
      <c r="J801" s="35"/>
    </row>
    <row r="802" spans="2:10" x14ac:dyDescent="0.25">
      <c r="B802" s="35"/>
      <c r="C802" s="35"/>
      <c r="D802" s="35"/>
      <c r="E802" s="106"/>
      <c r="F802" s="35"/>
      <c r="G802" s="393"/>
      <c r="H802" s="393"/>
      <c r="I802" s="373"/>
      <c r="J802" s="35"/>
    </row>
    <row r="803" spans="2:10" x14ac:dyDescent="0.25">
      <c r="B803" s="35"/>
      <c r="C803" s="35"/>
      <c r="D803" s="35"/>
      <c r="E803" s="106"/>
      <c r="F803" s="35"/>
      <c r="G803" s="393"/>
      <c r="H803" s="393"/>
      <c r="I803" s="373"/>
      <c r="J803" s="35"/>
    </row>
    <row r="804" spans="2:10" x14ac:dyDescent="0.25">
      <c r="B804" s="35"/>
      <c r="C804" s="35"/>
      <c r="D804" s="35"/>
      <c r="E804" s="106"/>
      <c r="F804" s="35"/>
      <c r="G804" s="393"/>
      <c r="H804" s="393"/>
      <c r="I804" s="373"/>
      <c r="J804" s="35"/>
    </row>
    <row r="805" spans="2:10" x14ac:dyDescent="0.25">
      <c r="B805" s="35"/>
      <c r="C805" s="35"/>
      <c r="D805" s="35"/>
      <c r="E805" s="106"/>
      <c r="F805" s="35"/>
      <c r="G805" s="393"/>
      <c r="H805" s="393"/>
      <c r="I805" s="373"/>
      <c r="J805" s="35"/>
    </row>
    <row r="806" spans="2:10" x14ac:dyDescent="0.25">
      <c r="B806" s="35"/>
      <c r="C806" s="35"/>
      <c r="D806" s="35"/>
      <c r="E806" s="106"/>
      <c r="F806" s="35"/>
      <c r="G806" s="393"/>
      <c r="H806" s="393"/>
      <c r="I806" s="373"/>
      <c r="J806" s="35"/>
    </row>
    <row r="807" spans="2:10" x14ac:dyDescent="0.25">
      <c r="B807" s="35"/>
      <c r="C807" s="35"/>
      <c r="D807" s="35"/>
      <c r="E807" s="106"/>
      <c r="F807" s="35"/>
      <c r="G807" s="393"/>
      <c r="H807" s="393"/>
      <c r="I807" s="373"/>
      <c r="J807" s="35"/>
    </row>
    <row r="808" spans="2:10" x14ac:dyDescent="0.25">
      <c r="B808" s="35"/>
      <c r="C808" s="35"/>
      <c r="D808" s="35"/>
      <c r="E808" s="106"/>
      <c r="F808" s="35"/>
      <c r="G808" s="393"/>
      <c r="H808" s="393"/>
      <c r="I808" s="373"/>
      <c r="J808" s="35"/>
    </row>
    <row r="809" spans="2:10" x14ac:dyDescent="0.25">
      <c r="B809" s="35"/>
      <c r="C809" s="35"/>
      <c r="D809" s="35"/>
      <c r="E809" s="106"/>
      <c r="F809" s="35"/>
      <c r="G809" s="393"/>
      <c r="H809" s="393"/>
      <c r="I809" s="373"/>
      <c r="J809" s="35"/>
    </row>
    <row r="810" spans="2:10" x14ac:dyDescent="0.25">
      <c r="B810" s="35"/>
      <c r="C810" s="35"/>
      <c r="D810" s="35"/>
      <c r="E810" s="106"/>
      <c r="F810" s="35"/>
      <c r="G810" s="393"/>
      <c r="H810" s="393"/>
      <c r="I810" s="373"/>
      <c r="J810" s="35"/>
    </row>
    <row r="811" spans="2:10" x14ac:dyDescent="0.25">
      <c r="B811" s="35"/>
      <c r="C811" s="35"/>
      <c r="D811" s="35"/>
      <c r="E811" s="106"/>
      <c r="F811" s="35"/>
      <c r="G811" s="393"/>
      <c r="H811" s="393"/>
      <c r="I811" s="373"/>
      <c r="J811" s="35"/>
    </row>
    <row r="812" spans="2:10" x14ac:dyDescent="0.25">
      <c r="B812" s="35"/>
      <c r="C812" s="35"/>
      <c r="D812" s="35"/>
      <c r="E812" s="106"/>
      <c r="F812" s="35"/>
      <c r="G812" s="393"/>
      <c r="H812" s="393"/>
      <c r="I812" s="373"/>
      <c r="J812" s="35"/>
    </row>
    <row r="813" spans="2:10" x14ac:dyDescent="0.25">
      <c r="B813" s="35"/>
      <c r="C813" s="35"/>
      <c r="D813" s="35"/>
      <c r="E813" s="106"/>
      <c r="F813" s="35"/>
      <c r="G813" s="393"/>
      <c r="H813" s="393"/>
      <c r="I813" s="373"/>
      <c r="J813" s="35"/>
    </row>
    <row r="814" spans="2:10" x14ac:dyDescent="0.25">
      <c r="B814" s="35"/>
      <c r="C814" s="35"/>
      <c r="D814" s="35"/>
      <c r="E814" s="106"/>
      <c r="F814" s="35"/>
      <c r="G814" s="393"/>
      <c r="H814" s="393"/>
      <c r="I814" s="373"/>
      <c r="J814" s="35"/>
    </row>
    <row r="815" spans="2:10" x14ac:dyDescent="0.25">
      <c r="B815" s="35"/>
      <c r="C815" s="35"/>
      <c r="D815" s="35"/>
      <c r="E815" s="106"/>
      <c r="F815" s="35"/>
      <c r="G815" s="393"/>
      <c r="H815" s="393"/>
      <c r="I815" s="373"/>
      <c r="J815" s="35"/>
    </row>
    <row r="816" spans="2:10" x14ac:dyDescent="0.25">
      <c r="B816" s="35"/>
      <c r="C816" s="35"/>
      <c r="D816" s="35"/>
      <c r="E816" s="106"/>
      <c r="F816" s="35"/>
      <c r="G816" s="393"/>
      <c r="H816" s="393"/>
      <c r="I816" s="373"/>
      <c r="J816" s="35"/>
    </row>
    <row r="817" spans="2:10" x14ac:dyDescent="0.25">
      <c r="B817" s="35"/>
      <c r="C817" s="35"/>
      <c r="D817" s="35"/>
      <c r="E817" s="106"/>
      <c r="F817" s="35"/>
      <c r="G817" s="393"/>
      <c r="H817" s="393"/>
      <c r="I817" s="373"/>
      <c r="J817" s="35"/>
    </row>
    <row r="818" spans="2:10" x14ac:dyDescent="0.25">
      <c r="B818" s="35"/>
      <c r="C818" s="35"/>
      <c r="D818" s="35"/>
      <c r="E818" s="106"/>
      <c r="F818" s="35"/>
      <c r="G818" s="393"/>
      <c r="H818" s="393"/>
      <c r="I818" s="373"/>
      <c r="J818" s="35"/>
    </row>
    <row r="819" spans="2:10" x14ac:dyDescent="0.25">
      <c r="B819" s="35"/>
      <c r="C819" s="35"/>
      <c r="D819" s="35"/>
      <c r="E819" s="106"/>
      <c r="F819" s="35"/>
      <c r="G819" s="393"/>
      <c r="H819" s="393"/>
      <c r="I819" s="373"/>
      <c r="J819" s="35"/>
    </row>
    <row r="820" spans="2:10" x14ac:dyDescent="0.25">
      <c r="B820" s="35"/>
      <c r="C820" s="35"/>
      <c r="D820" s="35"/>
      <c r="E820" s="106"/>
      <c r="F820" s="35"/>
      <c r="G820" s="393"/>
      <c r="H820" s="393"/>
      <c r="I820" s="373"/>
      <c r="J820" s="35"/>
    </row>
    <row r="821" spans="2:10" x14ac:dyDescent="0.25">
      <c r="B821" s="35"/>
      <c r="C821" s="35"/>
      <c r="D821" s="35"/>
      <c r="E821" s="106"/>
      <c r="F821" s="35"/>
      <c r="G821" s="393"/>
      <c r="H821" s="393"/>
      <c r="I821" s="373"/>
      <c r="J821" s="35"/>
    </row>
    <row r="822" spans="2:10" x14ac:dyDescent="0.25">
      <c r="B822" s="35"/>
      <c r="C822" s="35"/>
      <c r="D822" s="35"/>
      <c r="E822" s="106"/>
      <c r="F822" s="35"/>
      <c r="G822" s="393"/>
      <c r="H822" s="393"/>
      <c r="I822" s="373"/>
      <c r="J822" s="35"/>
    </row>
    <row r="823" spans="2:10" x14ac:dyDescent="0.25">
      <c r="B823" s="35"/>
      <c r="C823" s="35"/>
      <c r="D823" s="35"/>
      <c r="E823" s="106"/>
      <c r="F823" s="35"/>
      <c r="G823" s="393"/>
      <c r="H823" s="393"/>
      <c r="I823" s="373"/>
      <c r="J823" s="35"/>
    </row>
    <row r="824" spans="2:10" x14ac:dyDescent="0.25">
      <c r="B824" s="35"/>
      <c r="C824" s="35"/>
      <c r="D824" s="35"/>
      <c r="E824" s="106"/>
      <c r="F824" s="35"/>
      <c r="G824" s="393"/>
      <c r="H824" s="393"/>
      <c r="I824" s="373"/>
      <c r="J824" s="35"/>
    </row>
    <row r="825" spans="2:10" x14ac:dyDescent="0.25">
      <c r="B825" s="35"/>
      <c r="C825" s="35"/>
      <c r="D825" s="35"/>
      <c r="E825" s="106"/>
      <c r="F825" s="35"/>
      <c r="G825" s="393"/>
      <c r="H825" s="393"/>
      <c r="I825" s="373"/>
      <c r="J825" s="35"/>
    </row>
    <row r="826" spans="2:10" x14ac:dyDescent="0.25">
      <c r="B826" s="35"/>
      <c r="C826" s="35"/>
      <c r="D826" s="35"/>
      <c r="E826" s="106"/>
      <c r="F826" s="35"/>
      <c r="G826" s="393"/>
      <c r="H826" s="393"/>
      <c r="I826" s="373"/>
      <c r="J826" s="35"/>
    </row>
    <row r="827" spans="2:10" x14ac:dyDescent="0.25">
      <c r="B827" s="35"/>
      <c r="C827" s="35"/>
      <c r="D827" s="35"/>
      <c r="E827" s="106"/>
      <c r="F827" s="35"/>
      <c r="G827" s="393"/>
      <c r="H827" s="393"/>
      <c r="I827" s="373"/>
      <c r="J827" s="35"/>
    </row>
    <row r="828" spans="2:10" x14ac:dyDescent="0.25">
      <c r="B828" s="35"/>
      <c r="C828" s="35"/>
      <c r="D828" s="35"/>
      <c r="E828" s="106"/>
      <c r="F828" s="35"/>
      <c r="G828" s="393"/>
      <c r="H828" s="393"/>
      <c r="I828" s="373"/>
      <c r="J828" s="35"/>
    </row>
    <row r="829" spans="2:10" x14ac:dyDescent="0.25">
      <c r="B829" s="35"/>
      <c r="C829" s="35"/>
      <c r="D829" s="35"/>
      <c r="E829" s="106"/>
      <c r="F829" s="35"/>
      <c r="G829" s="393"/>
      <c r="H829" s="393"/>
      <c r="I829" s="373"/>
      <c r="J829" s="35"/>
    </row>
    <row r="830" spans="2:10" x14ac:dyDescent="0.25">
      <c r="B830" s="35"/>
      <c r="C830" s="35"/>
      <c r="D830" s="35"/>
      <c r="E830" s="106"/>
      <c r="F830" s="35"/>
      <c r="G830" s="393"/>
      <c r="H830" s="393"/>
      <c r="I830" s="373"/>
      <c r="J830" s="35"/>
    </row>
    <row r="831" spans="2:10" x14ac:dyDescent="0.25">
      <c r="B831" s="35"/>
      <c r="C831" s="35"/>
      <c r="D831" s="35"/>
      <c r="E831" s="106"/>
      <c r="F831" s="35"/>
      <c r="G831" s="393"/>
      <c r="H831" s="393"/>
      <c r="I831" s="373"/>
      <c r="J831" s="35"/>
    </row>
    <row r="832" spans="2:10" x14ac:dyDescent="0.25">
      <c r="B832" s="35"/>
      <c r="C832" s="35"/>
      <c r="D832" s="35"/>
      <c r="E832" s="106"/>
      <c r="F832" s="35"/>
      <c r="G832" s="393"/>
      <c r="H832" s="393"/>
      <c r="I832" s="373"/>
      <c r="J832" s="35"/>
    </row>
    <row r="833" spans="2:10" x14ac:dyDescent="0.25">
      <c r="B833" s="35"/>
      <c r="C833" s="35"/>
      <c r="D833" s="35"/>
      <c r="E833" s="106"/>
      <c r="F833" s="35"/>
      <c r="G833" s="393"/>
      <c r="H833" s="393"/>
      <c r="I833" s="373"/>
      <c r="J833" s="35"/>
    </row>
    <row r="834" spans="2:10" x14ac:dyDescent="0.25">
      <c r="B834" s="35"/>
      <c r="C834" s="35"/>
      <c r="D834" s="35"/>
      <c r="E834" s="106"/>
      <c r="F834" s="35"/>
      <c r="G834" s="393"/>
      <c r="H834" s="393"/>
      <c r="I834" s="373"/>
      <c r="J834" s="35"/>
    </row>
    <row r="835" spans="2:10" x14ac:dyDescent="0.25">
      <c r="B835" s="35"/>
      <c r="C835" s="35"/>
      <c r="D835" s="35"/>
      <c r="E835" s="106"/>
      <c r="F835" s="35"/>
      <c r="G835" s="393"/>
      <c r="H835" s="393"/>
      <c r="I835" s="373"/>
      <c r="J835" s="35"/>
    </row>
    <row r="836" spans="2:10" x14ac:dyDescent="0.25">
      <c r="B836" s="35"/>
      <c r="C836" s="35"/>
      <c r="D836" s="35"/>
      <c r="E836" s="106"/>
      <c r="F836" s="35"/>
      <c r="G836" s="393"/>
      <c r="H836" s="393"/>
      <c r="I836" s="373"/>
      <c r="J836" s="35"/>
    </row>
    <row r="837" spans="2:10" x14ac:dyDescent="0.25">
      <c r="B837" s="35"/>
      <c r="C837" s="35"/>
      <c r="D837" s="35"/>
      <c r="E837" s="106"/>
      <c r="F837" s="35"/>
      <c r="G837" s="393"/>
      <c r="H837" s="393"/>
      <c r="I837" s="373"/>
      <c r="J837" s="35"/>
    </row>
    <row r="838" spans="2:10" x14ac:dyDescent="0.25">
      <c r="B838" s="35"/>
      <c r="C838" s="35"/>
      <c r="D838" s="35"/>
      <c r="E838" s="106"/>
      <c r="F838" s="35"/>
      <c r="G838" s="393"/>
      <c r="H838" s="393"/>
      <c r="I838" s="373"/>
      <c r="J838" s="35"/>
    </row>
    <row r="839" spans="2:10" x14ac:dyDescent="0.25">
      <c r="B839" s="35"/>
      <c r="C839" s="35"/>
      <c r="D839" s="35"/>
      <c r="E839" s="106"/>
      <c r="F839" s="35"/>
      <c r="G839" s="393"/>
      <c r="H839" s="393"/>
      <c r="I839" s="373"/>
      <c r="J839" s="35"/>
    </row>
    <row r="840" spans="2:10" x14ac:dyDescent="0.25">
      <c r="B840" s="35"/>
      <c r="C840" s="35"/>
      <c r="D840" s="35"/>
      <c r="E840" s="106"/>
      <c r="F840" s="35"/>
      <c r="G840" s="393"/>
      <c r="H840" s="393"/>
      <c r="I840" s="373"/>
      <c r="J840" s="35"/>
    </row>
    <row r="841" spans="2:10" x14ac:dyDescent="0.25">
      <c r="B841" s="35"/>
      <c r="C841" s="35"/>
      <c r="D841" s="35"/>
      <c r="E841" s="106"/>
      <c r="F841" s="35"/>
      <c r="G841" s="393"/>
      <c r="H841" s="393"/>
      <c r="I841" s="373"/>
      <c r="J841" s="35"/>
    </row>
    <row r="842" spans="2:10" x14ac:dyDescent="0.25">
      <c r="B842" s="35"/>
      <c r="C842" s="35"/>
      <c r="D842" s="35"/>
      <c r="E842" s="106"/>
      <c r="F842" s="35"/>
      <c r="G842" s="393"/>
      <c r="H842" s="393"/>
      <c r="I842" s="373"/>
      <c r="J842" s="35"/>
    </row>
    <row r="843" spans="2:10" x14ac:dyDescent="0.25">
      <c r="B843" s="35"/>
      <c r="C843" s="35"/>
      <c r="D843" s="35"/>
      <c r="E843" s="106"/>
      <c r="F843" s="35"/>
      <c r="G843" s="393"/>
      <c r="H843" s="393"/>
      <c r="I843" s="373"/>
      <c r="J843" s="35"/>
    </row>
    <row r="844" spans="2:10" x14ac:dyDescent="0.25">
      <c r="B844" s="35"/>
      <c r="C844" s="35"/>
      <c r="D844" s="35"/>
      <c r="E844" s="106"/>
      <c r="F844" s="35"/>
      <c r="G844" s="393"/>
      <c r="H844" s="393"/>
      <c r="I844" s="373"/>
      <c r="J844" s="35"/>
    </row>
    <row r="845" spans="2:10" x14ac:dyDescent="0.25">
      <c r="B845" s="35"/>
      <c r="C845" s="35"/>
      <c r="D845" s="35"/>
      <c r="E845" s="106"/>
      <c r="F845" s="35"/>
      <c r="G845" s="393"/>
      <c r="H845" s="393"/>
      <c r="I845" s="373"/>
      <c r="J845" s="35"/>
    </row>
    <row r="846" spans="2:10" x14ac:dyDescent="0.25">
      <c r="B846" s="35"/>
      <c r="C846" s="35"/>
      <c r="D846" s="35"/>
      <c r="E846" s="106"/>
      <c r="F846" s="35"/>
      <c r="G846" s="393"/>
      <c r="H846" s="393"/>
      <c r="I846" s="373"/>
      <c r="J846" s="35"/>
    </row>
    <row r="847" spans="2:10" x14ac:dyDescent="0.25">
      <c r="B847" s="35"/>
      <c r="C847" s="35"/>
      <c r="D847" s="35"/>
      <c r="E847" s="106"/>
      <c r="F847" s="35"/>
      <c r="G847" s="393"/>
      <c r="H847" s="393"/>
      <c r="I847" s="373"/>
      <c r="J847" s="35"/>
    </row>
    <row r="848" spans="2:10" x14ac:dyDescent="0.25">
      <c r="B848" s="35"/>
      <c r="C848" s="35"/>
      <c r="D848" s="35"/>
      <c r="E848" s="106"/>
      <c r="F848" s="35"/>
      <c r="G848" s="393"/>
      <c r="H848" s="393"/>
      <c r="I848" s="373"/>
      <c r="J848" s="35"/>
    </row>
    <row r="849" spans="2:10" x14ac:dyDescent="0.25">
      <c r="B849" s="35"/>
      <c r="C849" s="35"/>
      <c r="D849" s="35"/>
      <c r="E849" s="106"/>
      <c r="F849" s="35"/>
      <c r="G849" s="393"/>
      <c r="H849" s="393"/>
      <c r="I849" s="373"/>
      <c r="J849" s="35"/>
    </row>
    <row r="850" spans="2:10" x14ac:dyDescent="0.25">
      <c r="B850" s="35"/>
      <c r="C850" s="35"/>
      <c r="D850" s="35"/>
      <c r="E850" s="106"/>
      <c r="F850" s="35"/>
      <c r="G850" s="393"/>
      <c r="H850" s="393"/>
      <c r="I850" s="373"/>
      <c r="J850" s="35"/>
    </row>
    <row r="851" spans="2:10" x14ac:dyDescent="0.25">
      <c r="B851" s="35"/>
      <c r="C851" s="35"/>
      <c r="D851" s="35"/>
      <c r="E851" s="106"/>
      <c r="F851" s="35"/>
      <c r="G851" s="393"/>
      <c r="H851" s="393"/>
      <c r="I851" s="373"/>
      <c r="J851" s="35"/>
    </row>
    <row r="852" spans="2:10" x14ac:dyDescent="0.25">
      <c r="B852" s="35"/>
      <c r="C852" s="35"/>
      <c r="D852" s="35"/>
      <c r="E852" s="106"/>
      <c r="F852" s="35"/>
      <c r="G852" s="393"/>
      <c r="H852" s="393"/>
      <c r="I852" s="373"/>
      <c r="J852" s="35"/>
    </row>
    <row r="853" spans="2:10" x14ac:dyDescent="0.25">
      <c r="B853" s="35"/>
      <c r="C853" s="35"/>
      <c r="D853" s="35"/>
      <c r="E853" s="106"/>
      <c r="F853" s="35"/>
      <c r="G853" s="393"/>
      <c r="H853" s="393"/>
      <c r="I853" s="373"/>
      <c r="J853" s="35"/>
    </row>
    <row r="854" spans="2:10" x14ac:dyDescent="0.25">
      <c r="B854" s="35"/>
      <c r="C854" s="35"/>
      <c r="D854" s="35"/>
      <c r="E854" s="106"/>
      <c r="F854" s="35"/>
      <c r="G854" s="393"/>
      <c r="H854" s="393"/>
      <c r="I854" s="373"/>
      <c r="J854" s="35"/>
    </row>
    <row r="855" spans="2:10" x14ac:dyDescent="0.25">
      <c r="B855" s="35"/>
      <c r="C855" s="35"/>
      <c r="D855" s="35"/>
      <c r="E855" s="106"/>
      <c r="F855" s="35"/>
      <c r="G855" s="393"/>
      <c r="H855" s="393"/>
      <c r="I855" s="373"/>
      <c r="J855" s="35"/>
    </row>
    <row r="856" spans="2:10" x14ac:dyDescent="0.25">
      <c r="B856" s="35"/>
      <c r="C856" s="35"/>
      <c r="D856" s="35"/>
      <c r="E856" s="106"/>
      <c r="F856" s="35"/>
      <c r="G856" s="393"/>
      <c r="H856" s="393"/>
      <c r="I856" s="373"/>
      <c r="J856" s="35"/>
    </row>
    <row r="857" spans="2:10" x14ac:dyDescent="0.25">
      <c r="B857" s="35"/>
      <c r="C857" s="35"/>
      <c r="D857" s="35"/>
      <c r="E857" s="106"/>
      <c r="F857" s="35"/>
      <c r="G857" s="393"/>
      <c r="H857" s="393"/>
      <c r="I857" s="373"/>
      <c r="J857" s="35"/>
    </row>
    <row r="858" spans="2:10" x14ac:dyDescent="0.25">
      <c r="B858" s="35"/>
      <c r="C858" s="35"/>
      <c r="D858" s="35"/>
      <c r="E858" s="106"/>
      <c r="F858" s="35"/>
      <c r="G858" s="393"/>
      <c r="H858" s="393"/>
      <c r="I858" s="373"/>
      <c r="J858" s="35"/>
    </row>
    <row r="859" spans="2:10" x14ac:dyDescent="0.25">
      <c r="B859" s="35"/>
      <c r="C859" s="35"/>
      <c r="D859" s="35"/>
      <c r="E859" s="106"/>
      <c r="F859" s="35"/>
      <c r="G859" s="393"/>
      <c r="H859" s="393"/>
      <c r="I859" s="373"/>
      <c r="J859" s="35"/>
    </row>
    <row r="860" spans="2:10" x14ac:dyDescent="0.25">
      <c r="B860" s="35"/>
      <c r="C860" s="35"/>
      <c r="D860" s="35"/>
      <c r="E860" s="106"/>
      <c r="F860" s="35"/>
      <c r="G860" s="393"/>
      <c r="H860" s="393"/>
      <c r="I860" s="373"/>
      <c r="J860" s="35"/>
    </row>
    <row r="861" spans="2:10" x14ac:dyDescent="0.25">
      <c r="B861" s="35"/>
      <c r="C861" s="35"/>
      <c r="D861" s="35"/>
      <c r="E861" s="106"/>
      <c r="F861" s="35"/>
      <c r="G861" s="393"/>
      <c r="H861" s="393"/>
      <c r="I861" s="373"/>
      <c r="J861" s="35"/>
    </row>
    <row r="862" spans="2:10" x14ac:dyDescent="0.25">
      <c r="B862" s="35"/>
      <c r="C862" s="35"/>
      <c r="D862" s="35"/>
      <c r="E862" s="106"/>
      <c r="F862" s="35"/>
      <c r="G862" s="393"/>
      <c r="H862" s="393"/>
      <c r="I862" s="373"/>
      <c r="J862" s="35"/>
    </row>
    <row r="863" spans="2:10" x14ac:dyDescent="0.25">
      <c r="B863" s="35"/>
      <c r="C863" s="35"/>
      <c r="D863" s="35"/>
      <c r="E863" s="106"/>
      <c r="F863" s="35"/>
      <c r="G863" s="393"/>
      <c r="H863" s="393"/>
      <c r="I863" s="373"/>
      <c r="J863" s="35"/>
    </row>
    <row r="864" spans="2:10" x14ac:dyDescent="0.25">
      <c r="B864" s="35"/>
      <c r="C864" s="35"/>
      <c r="D864" s="35"/>
      <c r="E864" s="106"/>
      <c r="F864" s="35"/>
      <c r="G864" s="393"/>
      <c r="H864" s="393"/>
      <c r="I864" s="373"/>
      <c r="J864" s="35"/>
    </row>
    <row r="865" spans="2:10" x14ac:dyDescent="0.25">
      <c r="B865" s="35"/>
      <c r="C865" s="35"/>
      <c r="D865" s="35"/>
      <c r="E865" s="106"/>
      <c r="F865" s="35"/>
      <c r="G865" s="393"/>
      <c r="H865" s="393"/>
      <c r="I865" s="373"/>
      <c r="J865" s="35"/>
    </row>
    <row r="866" spans="2:10" x14ac:dyDescent="0.25">
      <c r="B866" s="35"/>
      <c r="C866" s="35"/>
      <c r="D866" s="35"/>
      <c r="E866" s="106"/>
      <c r="F866" s="35"/>
      <c r="G866" s="393"/>
      <c r="H866" s="393"/>
      <c r="I866" s="373"/>
      <c r="J866" s="35"/>
    </row>
    <row r="867" spans="2:10" x14ac:dyDescent="0.25">
      <c r="B867" s="35"/>
      <c r="C867" s="35"/>
      <c r="D867" s="35"/>
      <c r="E867" s="106"/>
      <c r="F867" s="35"/>
      <c r="G867" s="393"/>
      <c r="H867" s="393"/>
      <c r="I867" s="373"/>
      <c r="J867" s="35"/>
    </row>
    <row r="868" spans="2:10" x14ac:dyDescent="0.25">
      <c r="B868" s="35"/>
      <c r="C868" s="35"/>
      <c r="D868" s="35"/>
      <c r="E868" s="106"/>
      <c r="F868" s="35"/>
      <c r="G868" s="393"/>
      <c r="H868" s="393"/>
      <c r="I868" s="373"/>
      <c r="J868" s="35"/>
    </row>
    <row r="869" spans="2:10" x14ac:dyDescent="0.25">
      <c r="B869" s="35"/>
      <c r="C869" s="35"/>
      <c r="D869" s="35"/>
      <c r="E869" s="106"/>
      <c r="F869" s="35"/>
      <c r="G869" s="393"/>
      <c r="H869" s="393"/>
      <c r="I869" s="373"/>
      <c r="J869" s="35"/>
    </row>
    <row r="870" spans="2:10" x14ac:dyDescent="0.25">
      <c r="B870" s="35"/>
      <c r="C870" s="35"/>
      <c r="D870" s="35"/>
      <c r="E870" s="106"/>
      <c r="F870" s="35"/>
      <c r="G870" s="393"/>
      <c r="H870" s="393"/>
      <c r="I870" s="373"/>
      <c r="J870" s="35"/>
    </row>
    <row r="871" spans="2:10" x14ac:dyDescent="0.25">
      <c r="B871" s="35"/>
      <c r="C871" s="35"/>
      <c r="D871" s="35"/>
      <c r="E871" s="106"/>
      <c r="F871" s="35"/>
      <c r="G871" s="393"/>
      <c r="H871" s="393"/>
      <c r="I871" s="373"/>
      <c r="J871" s="35"/>
    </row>
    <row r="872" spans="2:10" x14ac:dyDescent="0.25">
      <c r="B872" s="35"/>
      <c r="C872" s="35"/>
      <c r="D872" s="35"/>
      <c r="E872" s="106"/>
      <c r="F872" s="35"/>
      <c r="G872" s="393"/>
      <c r="H872" s="393"/>
      <c r="I872" s="373"/>
      <c r="J872" s="35"/>
    </row>
    <row r="873" spans="2:10" x14ac:dyDescent="0.25">
      <c r="B873" s="35"/>
      <c r="C873" s="35"/>
      <c r="D873" s="35"/>
      <c r="E873" s="106"/>
      <c r="F873" s="35"/>
      <c r="G873" s="393"/>
      <c r="H873" s="393"/>
      <c r="I873" s="373"/>
      <c r="J873" s="35"/>
    </row>
    <row r="874" spans="2:10" x14ac:dyDescent="0.25">
      <c r="B874" s="35"/>
      <c r="C874" s="35"/>
      <c r="D874" s="35"/>
      <c r="E874" s="106"/>
      <c r="F874" s="35"/>
      <c r="G874" s="393"/>
      <c r="H874" s="393"/>
      <c r="I874" s="373"/>
      <c r="J874" s="35"/>
    </row>
    <row r="875" spans="2:10" x14ac:dyDescent="0.25">
      <c r="B875" s="35"/>
      <c r="C875" s="35"/>
      <c r="D875" s="35"/>
      <c r="E875" s="106"/>
      <c r="F875" s="35"/>
      <c r="G875" s="393"/>
      <c r="H875" s="393"/>
      <c r="I875" s="373"/>
      <c r="J875" s="35"/>
    </row>
  </sheetData>
  <autoFilter ref="B8:J399"/>
  <mergeCells count="3">
    <mergeCell ref="C5:F5"/>
    <mergeCell ref="G5:J5"/>
    <mergeCell ref="B1:J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2"/>
  </sheetPr>
  <dimension ref="A1:IM372"/>
  <sheetViews>
    <sheetView showZeros="0" topLeftCell="B1" zoomScale="90" zoomScaleNormal="90" zoomScaleSheetLayoutView="85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E11" sqref="E11"/>
    </sheetView>
  </sheetViews>
  <sheetFormatPr defaultColWidth="9.140625" defaultRowHeight="15" x14ac:dyDescent="0.25"/>
  <cols>
    <col min="1" max="1" width="5.5703125" style="9" hidden="1" customWidth="1"/>
    <col min="2" max="2" width="42.7109375" style="9" customWidth="1"/>
    <col min="3" max="3" width="13.7109375" style="9" customWidth="1"/>
    <col min="4" max="4" width="14.5703125" style="9" customWidth="1"/>
    <col min="5" max="5" width="13" style="153" customWidth="1"/>
    <col min="6" max="6" width="9.7109375" style="9" customWidth="1"/>
    <col min="7" max="7" width="15" style="9" customWidth="1"/>
    <col min="8" max="8" width="14.42578125" style="9" customWidth="1"/>
    <col min="9" max="9" width="15.28515625" style="153" customWidth="1"/>
    <col min="10" max="10" width="10" style="9" customWidth="1"/>
    <col min="11" max="12" width="9.140625" style="18" customWidth="1"/>
    <col min="13" max="247" width="9.140625" style="18"/>
    <col min="248" max="16384" width="9.140625" style="9"/>
  </cols>
  <sheetData>
    <row r="1" spans="1:247" s="53" customFormat="1" ht="36" customHeight="1" x14ac:dyDescent="0.25">
      <c r="B1" s="764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январь-август  2018</v>
      </c>
      <c r="C1" s="765"/>
      <c r="D1" s="765"/>
      <c r="E1" s="765"/>
      <c r="F1" s="765"/>
      <c r="G1" s="765"/>
      <c r="H1" s="765"/>
      <c r="I1" s="765"/>
      <c r="J1" s="76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  <c r="BQ1" s="125"/>
      <c r="BR1" s="125"/>
      <c r="BS1" s="125"/>
      <c r="BT1" s="125"/>
      <c r="BU1" s="125"/>
      <c r="BV1" s="125"/>
      <c r="BW1" s="125"/>
      <c r="BX1" s="125"/>
      <c r="BY1" s="125"/>
      <c r="BZ1" s="125"/>
      <c r="CA1" s="125"/>
      <c r="CB1" s="125"/>
      <c r="CC1" s="125"/>
      <c r="CD1" s="125"/>
      <c r="CE1" s="125"/>
      <c r="CF1" s="125"/>
      <c r="CG1" s="125"/>
      <c r="CH1" s="125"/>
      <c r="CI1" s="125"/>
      <c r="CJ1" s="125"/>
      <c r="CK1" s="125"/>
      <c r="CL1" s="125"/>
      <c r="CM1" s="125"/>
      <c r="CN1" s="125"/>
      <c r="CO1" s="125"/>
      <c r="CP1" s="125"/>
      <c r="CQ1" s="125"/>
      <c r="CR1" s="125"/>
      <c r="CS1" s="125"/>
      <c r="CT1" s="125"/>
      <c r="CU1" s="125"/>
      <c r="CV1" s="125"/>
      <c r="CW1" s="125"/>
      <c r="CX1" s="125"/>
      <c r="CY1" s="125"/>
      <c r="CZ1" s="125"/>
      <c r="DA1" s="125"/>
      <c r="DB1" s="125"/>
      <c r="DC1" s="125"/>
      <c r="DD1" s="125"/>
      <c r="DE1" s="125"/>
      <c r="DF1" s="125"/>
      <c r="DG1" s="125"/>
      <c r="DH1" s="125"/>
      <c r="DI1" s="125"/>
      <c r="DJ1" s="125"/>
      <c r="DK1" s="125"/>
      <c r="DL1" s="125"/>
      <c r="DM1" s="125"/>
      <c r="DN1" s="125"/>
      <c r="DO1" s="125"/>
      <c r="DP1" s="125"/>
      <c r="DQ1" s="125"/>
      <c r="DR1" s="125"/>
      <c r="DS1" s="125"/>
      <c r="DT1" s="125"/>
      <c r="DU1" s="125"/>
      <c r="DV1" s="125"/>
      <c r="DW1" s="125"/>
      <c r="DX1" s="125"/>
      <c r="DY1" s="125"/>
      <c r="DZ1" s="125"/>
      <c r="EA1" s="125"/>
      <c r="EB1" s="125"/>
      <c r="EC1" s="125"/>
      <c r="ED1" s="125"/>
      <c r="EE1" s="125"/>
      <c r="EF1" s="125"/>
      <c r="EG1" s="125"/>
      <c r="EH1" s="125"/>
      <c r="EI1" s="125"/>
      <c r="EJ1" s="125"/>
      <c r="EK1" s="125"/>
      <c r="EL1" s="125"/>
      <c r="EM1" s="125"/>
      <c r="EN1" s="125"/>
      <c r="EO1" s="125"/>
      <c r="EP1" s="125"/>
      <c r="EQ1" s="125"/>
      <c r="ER1" s="125"/>
      <c r="ES1" s="125"/>
      <c r="ET1" s="125"/>
      <c r="EU1" s="125"/>
      <c r="EV1" s="125"/>
      <c r="EW1" s="125"/>
      <c r="EX1" s="125"/>
      <c r="EY1" s="125"/>
      <c r="EZ1" s="125"/>
      <c r="FA1" s="125"/>
      <c r="FB1" s="125"/>
      <c r="FC1" s="125"/>
      <c r="FD1" s="125"/>
      <c r="FE1" s="125"/>
      <c r="FF1" s="125"/>
      <c r="FG1" s="125"/>
      <c r="FH1" s="125"/>
      <c r="FI1" s="125"/>
      <c r="FJ1" s="125"/>
      <c r="FK1" s="125"/>
      <c r="FL1" s="125"/>
      <c r="FM1" s="125"/>
      <c r="FN1" s="125"/>
      <c r="FO1" s="125"/>
      <c r="FP1" s="125"/>
      <c r="FQ1" s="125"/>
      <c r="FR1" s="125"/>
      <c r="FS1" s="125"/>
      <c r="FT1" s="125"/>
      <c r="FU1" s="125"/>
      <c r="FV1" s="125"/>
      <c r="FW1" s="125"/>
      <c r="FX1" s="125"/>
      <c r="FY1" s="125"/>
      <c r="FZ1" s="125"/>
      <c r="GA1" s="125"/>
      <c r="GB1" s="125"/>
      <c r="GC1" s="125"/>
      <c r="GD1" s="125"/>
      <c r="GE1" s="125"/>
      <c r="GF1" s="125"/>
      <c r="GG1" s="125"/>
      <c r="GH1" s="125"/>
      <c r="GI1" s="125"/>
      <c r="GJ1" s="125"/>
      <c r="GK1" s="125"/>
      <c r="GL1" s="125"/>
      <c r="GM1" s="125"/>
      <c r="GN1" s="125"/>
      <c r="GO1" s="125"/>
      <c r="GP1" s="125"/>
      <c r="GQ1" s="125"/>
      <c r="GR1" s="125"/>
      <c r="GS1" s="125"/>
      <c r="GT1" s="125"/>
      <c r="GU1" s="125"/>
      <c r="GV1" s="125"/>
      <c r="GW1" s="125"/>
      <c r="GX1" s="125"/>
      <c r="GY1" s="125"/>
      <c r="GZ1" s="125"/>
      <c r="HA1" s="125"/>
      <c r="HB1" s="125"/>
      <c r="HC1" s="125"/>
      <c r="HD1" s="125"/>
      <c r="HE1" s="125"/>
      <c r="HF1" s="125"/>
      <c r="HG1" s="125"/>
      <c r="HH1" s="125"/>
      <c r="HI1" s="125"/>
      <c r="HJ1" s="125"/>
      <c r="HK1" s="125"/>
      <c r="HL1" s="125"/>
      <c r="HM1" s="125"/>
      <c r="HN1" s="125"/>
      <c r="HO1" s="125"/>
      <c r="HP1" s="125"/>
      <c r="HQ1" s="125"/>
      <c r="HR1" s="125"/>
      <c r="HS1" s="125"/>
      <c r="HT1" s="125"/>
      <c r="HU1" s="125"/>
      <c r="HV1" s="125"/>
      <c r="HW1" s="125"/>
      <c r="HX1" s="125"/>
      <c r="HY1" s="125"/>
      <c r="HZ1" s="125"/>
      <c r="IA1" s="125"/>
      <c r="IB1" s="125"/>
      <c r="IC1" s="125"/>
      <c r="ID1" s="125"/>
      <c r="IE1" s="125"/>
      <c r="IF1" s="125"/>
      <c r="IG1" s="125"/>
      <c r="IH1" s="125"/>
      <c r="II1" s="125"/>
      <c r="IJ1" s="125"/>
      <c r="IK1" s="125"/>
      <c r="IL1" s="125"/>
      <c r="IM1" s="125"/>
    </row>
    <row r="2" spans="1:247" s="53" customFormat="1" ht="12" customHeight="1" x14ac:dyDescent="0.25">
      <c r="B2" s="764"/>
      <c r="C2" s="764"/>
      <c r="D2" s="764"/>
      <c r="E2" s="764"/>
      <c r="F2" s="764"/>
      <c r="G2" s="764"/>
      <c r="H2" s="764"/>
      <c r="I2" s="764"/>
      <c r="J2" s="764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5"/>
      <c r="BP2" s="125"/>
      <c r="BQ2" s="125"/>
      <c r="BR2" s="125"/>
      <c r="BS2" s="125"/>
      <c r="BT2" s="125"/>
      <c r="BU2" s="125"/>
      <c r="BV2" s="125"/>
      <c r="BW2" s="125"/>
      <c r="BX2" s="125"/>
      <c r="BY2" s="125"/>
      <c r="BZ2" s="125"/>
      <c r="CA2" s="125"/>
      <c r="CB2" s="125"/>
      <c r="CC2" s="125"/>
      <c r="CD2" s="125"/>
      <c r="CE2" s="125"/>
      <c r="CF2" s="125"/>
      <c r="CG2" s="125"/>
      <c r="CH2" s="125"/>
      <c r="CI2" s="125"/>
      <c r="CJ2" s="125"/>
      <c r="CK2" s="125"/>
      <c r="CL2" s="125"/>
      <c r="CM2" s="125"/>
      <c r="CN2" s="125"/>
      <c r="CO2" s="125"/>
      <c r="CP2" s="125"/>
      <c r="CQ2" s="125"/>
      <c r="CR2" s="125"/>
      <c r="CS2" s="125"/>
      <c r="CT2" s="125"/>
      <c r="CU2" s="125"/>
      <c r="CV2" s="125"/>
      <c r="CW2" s="125"/>
      <c r="CX2" s="125"/>
      <c r="CY2" s="125"/>
      <c r="CZ2" s="125"/>
      <c r="DA2" s="125"/>
      <c r="DB2" s="125"/>
      <c r="DC2" s="125"/>
      <c r="DD2" s="125"/>
      <c r="DE2" s="125"/>
      <c r="DF2" s="125"/>
      <c r="DG2" s="125"/>
      <c r="DH2" s="125"/>
      <c r="DI2" s="125"/>
      <c r="DJ2" s="125"/>
      <c r="DK2" s="125"/>
      <c r="DL2" s="125"/>
      <c r="DM2" s="125"/>
      <c r="DN2" s="125"/>
      <c r="DO2" s="125"/>
      <c r="DP2" s="125"/>
      <c r="DQ2" s="125"/>
      <c r="DR2" s="125"/>
      <c r="DS2" s="125"/>
      <c r="DT2" s="125"/>
      <c r="DU2" s="125"/>
      <c r="DV2" s="125"/>
      <c r="DW2" s="125"/>
      <c r="DX2" s="125"/>
      <c r="DY2" s="125"/>
      <c r="DZ2" s="125"/>
      <c r="EA2" s="125"/>
      <c r="EB2" s="125"/>
      <c r="EC2" s="125"/>
      <c r="ED2" s="125"/>
      <c r="EE2" s="125"/>
      <c r="EF2" s="125"/>
      <c r="EG2" s="125"/>
      <c r="EH2" s="125"/>
      <c r="EI2" s="125"/>
      <c r="EJ2" s="125"/>
      <c r="EK2" s="125"/>
      <c r="EL2" s="125"/>
      <c r="EM2" s="125"/>
      <c r="EN2" s="125"/>
      <c r="EO2" s="125"/>
      <c r="EP2" s="125"/>
      <c r="EQ2" s="125"/>
      <c r="ER2" s="125"/>
      <c r="ES2" s="125"/>
      <c r="ET2" s="125"/>
      <c r="EU2" s="125"/>
      <c r="EV2" s="125"/>
      <c r="EW2" s="125"/>
      <c r="EX2" s="125"/>
      <c r="EY2" s="125"/>
      <c r="EZ2" s="125"/>
      <c r="FA2" s="125"/>
      <c r="FB2" s="125"/>
      <c r="FC2" s="125"/>
      <c r="FD2" s="125"/>
      <c r="FE2" s="125"/>
      <c r="FF2" s="125"/>
      <c r="FG2" s="125"/>
      <c r="FH2" s="125"/>
      <c r="FI2" s="125"/>
      <c r="FJ2" s="125"/>
      <c r="FK2" s="125"/>
      <c r="FL2" s="125"/>
      <c r="FM2" s="125"/>
      <c r="FN2" s="125"/>
      <c r="FO2" s="125"/>
      <c r="FP2" s="125"/>
      <c r="FQ2" s="125"/>
      <c r="FR2" s="125"/>
      <c r="FS2" s="125"/>
      <c r="FT2" s="125"/>
      <c r="FU2" s="125"/>
      <c r="FV2" s="125"/>
      <c r="FW2" s="125"/>
      <c r="FX2" s="125"/>
      <c r="FY2" s="125"/>
      <c r="FZ2" s="125"/>
      <c r="GA2" s="125"/>
      <c r="GB2" s="125"/>
      <c r="GC2" s="125"/>
      <c r="GD2" s="125"/>
      <c r="GE2" s="125"/>
      <c r="GF2" s="125"/>
      <c r="GG2" s="125"/>
      <c r="GH2" s="125"/>
      <c r="GI2" s="125"/>
      <c r="GJ2" s="125"/>
      <c r="GK2" s="125"/>
      <c r="GL2" s="125"/>
      <c r="GM2" s="125"/>
      <c r="GN2" s="125"/>
      <c r="GO2" s="125"/>
      <c r="GP2" s="125"/>
      <c r="GQ2" s="125"/>
      <c r="GR2" s="125"/>
      <c r="GS2" s="125"/>
      <c r="GT2" s="125"/>
      <c r="GU2" s="125"/>
      <c r="GV2" s="125"/>
      <c r="GW2" s="125"/>
      <c r="GX2" s="125"/>
      <c r="GY2" s="125"/>
      <c r="GZ2" s="125"/>
      <c r="HA2" s="125"/>
      <c r="HB2" s="125"/>
      <c r="HC2" s="125"/>
      <c r="HD2" s="125"/>
      <c r="HE2" s="125"/>
      <c r="HF2" s="125"/>
      <c r="HG2" s="125"/>
      <c r="HH2" s="125"/>
      <c r="HI2" s="125"/>
      <c r="HJ2" s="125"/>
      <c r="HK2" s="125"/>
      <c r="HL2" s="125"/>
      <c r="HM2" s="125"/>
      <c r="HN2" s="125"/>
      <c r="HO2" s="125"/>
      <c r="HP2" s="125"/>
      <c r="HQ2" s="125"/>
      <c r="HR2" s="125"/>
      <c r="HS2" s="125"/>
      <c r="HT2" s="125"/>
      <c r="HU2" s="125"/>
      <c r="HV2" s="125"/>
      <c r="HW2" s="125"/>
      <c r="HX2" s="125"/>
      <c r="HY2" s="125"/>
      <c r="HZ2" s="125"/>
      <c r="IA2" s="125"/>
      <c r="IB2" s="125"/>
      <c r="IC2" s="125"/>
      <c r="ID2" s="125"/>
      <c r="IE2" s="125"/>
      <c r="IF2" s="125"/>
      <c r="IG2" s="125"/>
      <c r="IH2" s="125"/>
      <c r="II2" s="125"/>
      <c r="IJ2" s="125"/>
      <c r="IK2" s="125"/>
      <c r="IL2" s="125"/>
      <c r="IM2" s="125"/>
    </row>
    <row r="3" spans="1:247" hidden="1" x14ac:dyDescent="0.25">
      <c r="B3" s="152">
        <v>8</v>
      </c>
    </row>
    <row r="4" spans="1:247" ht="15.75" customHeight="1" thickBot="1" x14ac:dyDescent="0.3">
      <c r="B4" s="152"/>
    </row>
    <row r="5" spans="1:247" ht="20.25" customHeight="1" thickBot="1" x14ac:dyDescent="0.3">
      <c r="B5" s="38" t="s">
        <v>0</v>
      </c>
      <c r="C5" s="761" t="s">
        <v>102</v>
      </c>
      <c r="D5" s="762"/>
      <c r="E5" s="762"/>
      <c r="F5" s="763"/>
      <c r="G5" s="761" t="s">
        <v>101</v>
      </c>
      <c r="H5" s="762"/>
      <c r="I5" s="762"/>
      <c r="J5" s="763"/>
    </row>
    <row r="6" spans="1:247" ht="72.75" customHeight="1" thickBot="1" x14ac:dyDescent="0.3">
      <c r="B6" s="39"/>
      <c r="C6" s="297" t="s">
        <v>128</v>
      </c>
      <c r="D6" s="297" t="s">
        <v>132</v>
      </c>
      <c r="E6" s="298" t="s">
        <v>103</v>
      </c>
      <c r="F6" s="95" t="s">
        <v>35</v>
      </c>
      <c r="G6" s="297" t="s">
        <v>129</v>
      </c>
      <c r="H6" s="297" t="s">
        <v>133</v>
      </c>
      <c r="I6" s="298" t="s">
        <v>104</v>
      </c>
      <c r="J6" s="95" t="s">
        <v>35</v>
      </c>
    </row>
    <row r="7" spans="1:247" s="18" customFormat="1" ht="15.75" thickBot="1" x14ac:dyDescent="0.3">
      <c r="B7" s="55">
        <v>1</v>
      </c>
      <c r="C7" s="55">
        <v>2</v>
      </c>
      <c r="D7" s="55">
        <v>3</v>
      </c>
      <c r="E7" s="55">
        <v>4</v>
      </c>
      <c r="F7" s="55">
        <v>5</v>
      </c>
      <c r="G7" s="55">
        <v>6</v>
      </c>
      <c r="H7" s="55">
        <v>7</v>
      </c>
      <c r="I7" s="55">
        <v>8</v>
      </c>
      <c r="J7" s="55">
        <v>9</v>
      </c>
    </row>
    <row r="8" spans="1:247" s="18" customFormat="1" ht="19.149999999999999" customHeight="1" x14ac:dyDescent="0.25">
      <c r="A8" s="18">
        <v>1</v>
      </c>
      <c r="B8" s="86" t="s">
        <v>2</v>
      </c>
      <c r="C8" s="17"/>
      <c r="D8" s="17"/>
      <c r="E8" s="154"/>
      <c r="F8" s="17"/>
      <c r="G8" s="15"/>
      <c r="H8" s="15"/>
      <c r="I8" s="118"/>
      <c r="J8" s="15"/>
    </row>
    <row r="9" spans="1:247" ht="31.5" customHeight="1" x14ac:dyDescent="0.25">
      <c r="A9" s="18">
        <v>1</v>
      </c>
      <c r="B9" s="171" t="s">
        <v>71</v>
      </c>
      <c r="C9" s="136"/>
      <c r="D9" s="136"/>
      <c r="E9" s="136"/>
      <c r="F9" s="136"/>
      <c r="G9" s="456"/>
      <c r="H9" s="456"/>
      <c r="I9" s="456"/>
      <c r="J9" s="456"/>
    </row>
    <row r="10" spans="1:247" s="35" customFormat="1" ht="30" x14ac:dyDescent="0.25">
      <c r="A10" s="18">
        <v>1</v>
      </c>
      <c r="B10" s="198" t="s">
        <v>120</v>
      </c>
      <c r="C10" s="113">
        <f>SUM(C11:C14)</f>
        <v>12072</v>
      </c>
      <c r="D10" s="113">
        <f>SUM(D11:D14)</f>
        <v>8048</v>
      </c>
      <c r="E10" s="113">
        <f>SUM(E11:E14)</f>
        <v>8752</v>
      </c>
      <c r="F10" s="118">
        <f t="shared" ref="F10:F20" si="0">E10/D10*100</f>
        <v>108.74751491053678</v>
      </c>
      <c r="G10" s="465">
        <f>SUM(G11:G14)</f>
        <v>20984.503579999997</v>
      </c>
      <c r="H10" s="465">
        <f>SUM(H11:H14)</f>
        <v>13989.670000000002</v>
      </c>
      <c r="I10" s="465">
        <f>SUM(I11:I14)</f>
        <v>15529.470700000002</v>
      </c>
      <c r="J10" s="457">
        <f>I10/H10*100</f>
        <v>111.00669779916181</v>
      </c>
    </row>
    <row r="11" spans="1:247" s="35" customFormat="1" ht="30" x14ac:dyDescent="0.25">
      <c r="A11" s="18">
        <v>1</v>
      </c>
      <c r="B11" s="71" t="s">
        <v>79</v>
      </c>
      <c r="C11" s="113">
        <v>9139</v>
      </c>
      <c r="D11" s="107">
        <f t="shared" ref="D11:D18" si="1">ROUND(C11/12*$B$3,0)</f>
        <v>6093</v>
      </c>
      <c r="E11" s="113">
        <v>6837</v>
      </c>
      <c r="F11" s="118">
        <f t="shared" si="0"/>
        <v>112.21073362875431</v>
      </c>
      <c r="G11" s="465">
        <v>14710.7534</v>
      </c>
      <c r="H11" s="725">
        <f>ROUND(G11/12*$B$3,2)</f>
        <v>9807.17</v>
      </c>
      <c r="I11" s="458">
        <v>10858.769380000002</v>
      </c>
      <c r="J11" s="457">
        <f>I11/H11*100</f>
        <v>110.72276079643773</v>
      </c>
    </row>
    <row r="12" spans="1:247" s="35" customFormat="1" ht="30" x14ac:dyDescent="0.25">
      <c r="A12" s="18">
        <v>1</v>
      </c>
      <c r="B12" s="71" t="s">
        <v>80</v>
      </c>
      <c r="C12" s="113">
        <v>2742</v>
      </c>
      <c r="D12" s="107">
        <f>ROUND(C12/12*$B$3,0)</f>
        <v>1828</v>
      </c>
      <c r="E12" s="113">
        <v>1609</v>
      </c>
      <c r="F12" s="118">
        <f t="shared" si="0"/>
        <v>88.019693654266959</v>
      </c>
      <c r="G12" s="465">
        <v>5020.3929000000007</v>
      </c>
      <c r="H12" s="638">
        <f t="shared" ref="H12:H14" si="2">ROUND(G12/12*$B$3,2)</f>
        <v>3346.93</v>
      </c>
      <c r="I12" s="458">
        <v>2735.5446099999999</v>
      </c>
      <c r="J12" s="457">
        <f t="shared" ref="J12:J21" si="3">I12/H12*100</f>
        <v>81.732949598587368</v>
      </c>
    </row>
    <row r="13" spans="1:247" s="35" customFormat="1" ht="45" x14ac:dyDescent="0.25">
      <c r="A13" s="18">
        <v>1</v>
      </c>
      <c r="B13" s="71" t="s">
        <v>114</v>
      </c>
      <c r="C13" s="113">
        <v>65</v>
      </c>
      <c r="D13" s="107">
        <f t="shared" si="1"/>
        <v>43</v>
      </c>
      <c r="E13" s="113">
        <v>65</v>
      </c>
      <c r="F13" s="118">
        <f t="shared" si="0"/>
        <v>151.16279069767441</v>
      </c>
      <c r="G13" s="465">
        <v>426.53520000000003</v>
      </c>
      <c r="H13" s="638">
        <f t="shared" si="2"/>
        <v>284.36</v>
      </c>
      <c r="I13" s="458">
        <v>412.75482999999997</v>
      </c>
      <c r="J13" s="457">
        <f t="shared" si="3"/>
        <v>145.15221198480796</v>
      </c>
    </row>
    <row r="14" spans="1:247" s="35" customFormat="1" ht="30" x14ac:dyDescent="0.25">
      <c r="A14" s="18">
        <v>1</v>
      </c>
      <c r="B14" s="71" t="s">
        <v>115</v>
      </c>
      <c r="C14" s="113">
        <v>126</v>
      </c>
      <c r="D14" s="107">
        <f t="shared" si="1"/>
        <v>84</v>
      </c>
      <c r="E14" s="113">
        <v>241</v>
      </c>
      <c r="F14" s="118">
        <f t="shared" si="0"/>
        <v>286.90476190476193</v>
      </c>
      <c r="G14" s="465">
        <v>826.82207999999991</v>
      </c>
      <c r="H14" s="638">
        <f t="shared" si="2"/>
        <v>551.21</v>
      </c>
      <c r="I14" s="458">
        <v>1522.4018800000001</v>
      </c>
      <c r="J14" s="457">
        <f t="shared" si="3"/>
        <v>276.19271783893618</v>
      </c>
    </row>
    <row r="15" spans="1:247" s="35" customFormat="1" ht="44.25" customHeight="1" x14ac:dyDescent="0.25">
      <c r="A15" s="18">
        <v>1</v>
      </c>
      <c r="B15" s="198" t="s">
        <v>112</v>
      </c>
      <c r="C15" s="113">
        <f>SUM(C16:C18)</f>
        <v>16548</v>
      </c>
      <c r="D15" s="113">
        <f>SUM(D16:D18)</f>
        <v>11032</v>
      </c>
      <c r="E15" s="113">
        <f>SUM(E16:E18)</f>
        <v>9973</v>
      </c>
      <c r="F15" s="118">
        <f t="shared" si="0"/>
        <v>90.400652646845543</v>
      </c>
      <c r="G15" s="458">
        <f>SUM(G16:G18)</f>
        <v>40115.386599999998</v>
      </c>
      <c r="H15" s="458">
        <f>SUM(H16:H18)</f>
        <v>26743.59</v>
      </c>
      <c r="I15" s="458">
        <f>SUM(I16:I18)</f>
        <v>24065.526330000001</v>
      </c>
      <c r="J15" s="457">
        <f t="shared" si="3"/>
        <v>89.986147446920924</v>
      </c>
    </row>
    <row r="16" spans="1:247" s="35" customFormat="1" ht="30" x14ac:dyDescent="0.25">
      <c r="A16" s="18">
        <v>1</v>
      </c>
      <c r="B16" s="71" t="s">
        <v>108</v>
      </c>
      <c r="C16" s="113">
        <v>1008</v>
      </c>
      <c r="D16" s="107">
        <f t="shared" si="1"/>
        <v>672</v>
      </c>
      <c r="E16" s="113">
        <v>627</v>
      </c>
      <c r="F16" s="118">
        <f t="shared" si="0"/>
        <v>93.303571428571431</v>
      </c>
      <c r="G16" s="638">
        <v>2137.47408</v>
      </c>
      <c r="H16" s="638">
        <f t="shared" ref="H16:H20" si="4">ROUND(G16/12*$B$3,2)</f>
        <v>1424.98</v>
      </c>
      <c r="I16" s="465">
        <v>1307.7945500000003</v>
      </c>
      <c r="J16" s="457">
        <f t="shared" si="3"/>
        <v>91.77634422939272</v>
      </c>
    </row>
    <row r="17" spans="1:247" s="35" customFormat="1" ht="60" customHeight="1" x14ac:dyDescent="0.25">
      <c r="A17" s="18">
        <v>1</v>
      </c>
      <c r="B17" s="71" t="s">
        <v>119</v>
      </c>
      <c r="C17" s="113">
        <v>14212</v>
      </c>
      <c r="D17" s="107">
        <f t="shared" si="1"/>
        <v>9475</v>
      </c>
      <c r="E17" s="113">
        <v>9152</v>
      </c>
      <c r="F17" s="118">
        <f t="shared" si="0"/>
        <v>96.5910290237467</v>
      </c>
      <c r="G17" s="638">
        <v>36676.260040000001</v>
      </c>
      <c r="H17" s="638">
        <f t="shared" si="4"/>
        <v>24450.84</v>
      </c>
      <c r="I17" s="458">
        <v>22630.616070000004</v>
      </c>
      <c r="J17" s="457">
        <f t="shared" si="3"/>
        <v>92.555577109007316</v>
      </c>
    </row>
    <row r="18" spans="1:247" s="35" customFormat="1" ht="45" x14ac:dyDescent="0.25">
      <c r="A18" s="18">
        <v>1</v>
      </c>
      <c r="B18" s="71" t="s">
        <v>109</v>
      </c>
      <c r="C18" s="113">
        <v>1328</v>
      </c>
      <c r="D18" s="107">
        <f t="shared" si="1"/>
        <v>885</v>
      </c>
      <c r="E18" s="113">
        <v>194</v>
      </c>
      <c r="F18" s="118">
        <f t="shared" si="0"/>
        <v>21.92090395480226</v>
      </c>
      <c r="G18" s="638">
        <v>1301.65248</v>
      </c>
      <c r="H18" s="638">
        <f t="shared" si="4"/>
        <v>867.77</v>
      </c>
      <c r="I18" s="458">
        <v>127.11570999999999</v>
      </c>
      <c r="J18" s="457">
        <f t="shared" si="3"/>
        <v>14.648548578540396</v>
      </c>
    </row>
    <row r="19" spans="1:247" s="35" customFormat="1" ht="30" x14ac:dyDescent="0.25">
      <c r="A19" s="18">
        <v>1</v>
      </c>
      <c r="B19" s="658" t="s">
        <v>123</v>
      </c>
      <c r="C19" s="113">
        <v>26960</v>
      </c>
      <c r="D19" s="107">
        <f>ROUND(C19/12*$B$3,0)</f>
        <v>17973</v>
      </c>
      <c r="E19" s="113">
        <f>13155+E20</f>
        <v>16305</v>
      </c>
      <c r="F19" s="118">
        <f t="shared" si="0"/>
        <v>90.719412452011355</v>
      </c>
      <c r="G19" s="465">
        <v>26238.011200000001</v>
      </c>
      <c r="H19" s="638">
        <f t="shared" si="4"/>
        <v>17492.009999999998</v>
      </c>
      <c r="I19" s="458">
        <f>12751.69526+I20</f>
        <v>15808.017540000001</v>
      </c>
      <c r="J19" s="457">
        <f>I19/H19*100</f>
        <v>90.372790434032467</v>
      </c>
    </row>
    <row r="20" spans="1:247" s="35" customFormat="1" ht="24" customHeight="1" thickBot="1" x14ac:dyDescent="0.3">
      <c r="A20" s="18">
        <v>1</v>
      </c>
      <c r="B20" s="658" t="s">
        <v>125</v>
      </c>
      <c r="C20" s="113">
        <v>2861</v>
      </c>
      <c r="D20" s="107">
        <f>ROUND(C20/12*$B$3,0)</f>
        <v>1907</v>
      </c>
      <c r="E20" s="113">
        <v>3150</v>
      </c>
      <c r="F20" s="118">
        <f t="shared" si="0"/>
        <v>165.18091242789723</v>
      </c>
      <c r="G20" s="465">
        <v>2784.3824200000004</v>
      </c>
      <c r="H20" s="638">
        <f t="shared" si="4"/>
        <v>1856.25</v>
      </c>
      <c r="I20" s="458">
        <v>3056.3222800000003</v>
      </c>
      <c r="J20" s="457">
        <f>I20/H20*100</f>
        <v>164.65035851851852</v>
      </c>
    </row>
    <row r="21" spans="1:247" s="13" customFormat="1" ht="15.75" thickBot="1" x14ac:dyDescent="0.3">
      <c r="A21" s="18">
        <v>1</v>
      </c>
      <c r="B21" s="111" t="s">
        <v>3</v>
      </c>
      <c r="C21" s="426"/>
      <c r="D21" s="426"/>
      <c r="E21" s="426"/>
      <c r="F21" s="427"/>
      <c r="G21" s="460">
        <f>G10+G15+G19</f>
        <v>87337.901379999996</v>
      </c>
      <c r="H21" s="460">
        <f>H10+H15+H19</f>
        <v>58225.270000000004</v>
      </c>
      <c r="I21" s="460">
        <f>I10+I15+I19</f>
        <v>55403.014569999999</v>
      </c>
      <c r="J21" s="461">
        <f t="shared" si="3"/>
        <v>95.152868453851738</v>
      </c>
    </row>
    <row r="22" spans="1:247" ht="14.25" customHeight="1" x14ac:dyDescent="0.25">
      <c r="A22" s="18">
        <v>1</v>
      </c>
      <c r="B22" s="78"/>
      <c r="C22" s="155"/>
      <c r="D22" s="155"/>
      <c r="E22" s="155"/>
      <c r="F22" s="155"/>
      <c r="G22" s="462"/>
      <c r="H22" s="462"/>
      <c r="I22" s="462"/>
      <c r="J22" s="462"/>
    </row>
    <row r="23" spans="1:247" s="21" customFormat="1" ht="27.75" customHeight="1" x14ac:dyDescent="0.25">
      <c r="A23" s="18">
        <v>1</v>
      </c>
      <c r="B23" s="171" t="s">
        <v>72</v>
      </c>
      <c r="C23" s="156"/>
      <c r="D23" s="156"/>
      <c r="E23" s="156"/>
      <c r="F23" s="156"/>
      <c r="G23" s="456"/>
      <c r="H23" s="456"/>
      <c r="I23" s="456"/>
      <c r="J23" s="456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</row>
    <row r="24" spans="1:247" s="35" customFormat="1" ht="30" x14ac:dyDescent="0.25">
      <c r="A24" s="18">
        <v>1</v>
      </c>
      <c r="B24" s="198" t="s">
        <v>120</v>
      </c>
      <c r="C24" s="113">
        <f>SUM(C25:C28)</f>
        <v>7042</v>
      </c>
      <c r="D24" s="113">
        <f>SUM(D25:D28)</f>
        <v>4695</v>
      </c>
      <c r="E24" s="113">
        <f>SUM(E25:E28)</f>
        <v>5273</v>
      </c>
      <c r="F24" s="118">
        <f>E24/D24*100</f>
        <v>112.31096911608094</v>
      </c>
      <c r="G24" s="465">
        <f>SUM(G25:G28)</f>
        <v>11936.22388</v>
      </c>
      <c r="H24" s="465">
        <f>SUM(H25:H28)</f>
        <v>7957.4899999999989</v>
      </c>
      <c r="I24" s="465">
        <f>SUM(I25:I28)</f>
        <v>8271.165939999999</v>
      </c>
      <c r="J24" s="457">
        <f>I24/H24*100</f>
        <v>103.94189549719823</v>
      </c>
    </row>
    <row r="25" spans="1:247" s="35" customFormat="1" ht="30" x14ac:dyDescent="0.25">
      <c r="A25" s="18">
        <v>1</v>
      </c>
      <c r="B25" s="71" t="s">
        <v>79</v>
      </c>
      <c r="C25" s="113">
        <v>5370</v>
      </c>
      <c r="D25" s="107">
        <f>ROUND(C25/12*$B$3,0)</f>
        <v>3580</v>
      </c>
      <c r="E25" s="113">
        <v>4149</v>
      </c>
      <c r="F25" s="118">
        <f>E25/D25*100</f>
        <v>115.89385474860335</v>
      </c>
      <c r="G25" s="465">
        <v>8551.4056</v>
      </c>
      <c r="H25" s="638">
        <f t="shared" ref="H25:H28" si="5">ROUND(G25/12*$B$3,2)</f>
        <v>5700.94</v>
      </c>
      <c r="I25" s="458">
        <v>5920.0301299999992</v>
      </c>
      <c r="J25" s="457">
        <f>I25/H25*100</f>
        <v>103.84305272463838</v>
      </c>
    </row>
    <row r="26" spans="1:247" s="35" customFormat="1" ht="30" x14ac:dyDescent="0.25">
      <c r="A26" s="18">
        <v>1</v>
      </c>
      <c r="B26" s="71" t="s">
        <v>80</v>
      </c>
      <c r="C26" s="113">
        <v>1611</v>
      </c>
      <c r="D26" s="107">
        <f>ROUND(C26/12*$B$3,0)</f>
        <v>1074</v>
      </c>
      <c r="E26" s="113">
        <v>1062</v>
      </c>
      <c r="F26" s="118">
        <f>E26/D26*100</f>
        <v>98.882681564245814</v>
      </c>
      <c r="G26" s="465">
        <f>2984.5314</f>
        <v>2984.5313999999998</v>
      </c>
      <c r="H26" s="638">
        <f t="shared" si="5"/>
        <v>1989.69</v>
      </c>
      <c r="I26" s="458">
        <v>1944.28685</v>
      </c>
      <c r="J26" s="457">
        <f t="shared" ref="J26:J35" si="6">I26/H26*100</f>
        <v>97.718079198267063</v>
      </c>
    </row>
    <row r="27" spans="1:247" s="35" customFormat="1" ht="45" x14ac:dyDescent="0.25">
      <c r="A27" s="18">
        <v>1</v>
      </c>
      <c r="B27" s="71" t="s">
        <v>114</v>
      </c>
      <c r="C27" s="113"/>
      <c r="D27" s="107">
        <f>ROUND(C27/12*$B$3,0)</f>
        <v>0</v>
      </c>
      <c r="E27" s="113"/>
      <c r="F27" s="118"/>
      <c r="G27" s="465"/>
      <c r="H27" s="638">
        <f t="shared" si="5"/>
        <v>0</v>
      </c>
      <c r="I27" s="458"/>
      <c r="J27" s="457"/>
    </row>
    <row r="28" spans="1:247" s="35" customFormat="1" ht="30" x14ac:dyDescent="0.25">
      <c r="A28" s="18">
        <v>1</v>
      </c>
      <c r="B28" s="71" t="s">
        <v>115</v>
      </c>
      <c r="C28" s="113">
        <v>61</v>
      </c>
      <c r="D28" s="107">
        <f>ROUND(C28/12*$B$3,0)</f>
        <v>41</v>
      </c>
      <c r="E28" s="113">
        <v>62</v>
      </c>
      <c r="F28" s="118">
        <f t="shared" ref="F28:F32" si="7">E28/D28*100</f>
        <v>151.21951219512195</v>
      </c>
      <c r="G28" s="465">
        <v>400.28688</v>
      </c>
      <c r="H28" s="638">
        <f t="shared" si="5"/>
        <v>266.86</v>
      </c>
      <c r="I28" s="458">
        <v>406.84896000000003</v>
      </c>
      <c r="J28" s="457">
        <f t="shared" si="6"/>
        <v>152.4578280746459</v>
      </c>
    </row>
    <row r="29" spans="1:247" s="35" customFormat="1" ht="30" x14ac:dyDescent="0.25">
      <c r="A29" s="18">
        <v>1</v>
      </c>
      <c r="B29" s="198" t="s">
        <v>112</v>
      </c>
      <c r="C29" s="113">
        <f>SUM(C30:C32)</f>
        <v>6436</v>
      </c>
      <c r="D29" s="113">
        <f>SUM(D30:D32)</f>
        <v>4291</v>
      </c>
      <c r="E29" s="113">
        <f>SUM(E30:E32)</f>
        <v>2877</v>
      </c>
      <c r="F29" s="118">
        <f t="shared" si="7"/>
        <v>67.047308319738988</v>
      </c>
      <c r="G29" s="458">
        <f>SUM(G30:G32)</f>
        <v>11706.71876</v>
      </c>
      <c r="H29" s="458">
        <f>SUM(H30:H32)</f>
        <v>7804.4800000000005</v>
      </c>
      <c r="I29" s="458">
        <f>SUM(I30:I32)</f>
        <v>5939.2379599999995</v>
      </c>
      <c r="J29" s="457">
        <f t="shared" si="6"/>
        <v>76.10036748124152</v>
      </c>
    </row>
    <row r="30" spans="1:247" s="35" customFormat="1" ht="30" x14ac:dyDescent="0.25">
      <c r="A30" s="18">
        <v>1</v>
      </c>
      <c r="B30" s="71" t="s">
        <v>108</v>
      </c>
      <c r="C30" s="113">
        <v>500</v>
      </c>
      <c r="D30" s="107">
        <f t="shared" ref="D30:D34" si="8">ROUND(C30/12*$B$3,0)</f>
        <v>333</v>
      </c>
      <c r="E30" s="113">
        <v>345</v>
      </c>
      <c r="F30" s="118">
        <f t="shared" si="7"/>
        <v>103.60360360360362</v>
      </c>
      <c r="G30" s="638">
        <v>1060.2550000000001</v>
      </c>
      <c r="H30" s="638">
        <f t="shared" ref="H30:H34" si="9">ROUND(G30/12*$B$3,2)</f>
        <v>706.84</v>
      </c>
      <c r="I30" s="465">
        <v>721.15010000000007</v>
      </c>
      <c r="J30" s="457">
        <f t="shared" si="6"/>
        <v>102.02451757116179</v>
      </c>
    </row>
    <row r="31" spans="1:247" s="35" customFormat="1" ht="61.5" customHeight="1" x14ac:dyDescent="0.25">
      <c r="A31" s="18">
        <v>1</v>
      </c>
      <c r="B31" s="71" t="s">
        <v>119</v>
      </c>
      <c r="C31" s="113">
        <v>3400</v>
      </c>
      <c r="D31" s="107">
        <f t="shared" si="8"/>
        <v>2267</v>
      </c>
      <c r="E31" s="113">
        <v>1540</v>
      </c>
      <c r="F31" s="118">
        <f t="shared" si="7"/>
        <v>67.931186590207332</v>
      </c>
      <c r="G31" s="638">
        <v>8160.7780000000002</v>
      </c>
      <c r="H31" s="638">
        <f t="shared" si="9"/>
        <v>5440.52</v>
      </c>
      <c r="I31" s="458">
        <v>4201.5116099999996</v>
      </c>
      <c r="J31" s="457">
        <f t="shared" si="6"/>
        <v>77.226287376941897</v>
      </c>
    </row>
    <row r="32" spans="1:247" s="35" customFormat="1" ht="45" x14ac:dyDescent="0.25">
      <c r="A32" s="18">
        <v>1</v>
      </c>
      <c r="B32" s="71" t="s">
        <v>109</v>
      </c>
      <c r="C32" s="113">
        <v>2536</v>
      </c>
      <c r="D32" s="107">
        <f t="shared" si="8"/>
        <v>1691</v>
      </c>
      <c r="E32" s="113">
        <v>992</v>
      </c>
      <c r="F32" s="118">
        <f t="shared" si="7"/>
        <v>58.663512714370192</v>
      </c>
      <c r="G32" s="638">
        <v>2485.6857599999998</v>
      </c>
      <c r="H32" s="638">
        <f t="shared" si="9"/>
        <v>1657.12</v>
      </c>
      <c r="I32" s="458">
        <v>1016.5762499999998</v>
      </c>
      <c r="J32" s="457">
        <f t="shared" si="6"/>
        <v>61.3459646857198</v>
      </c>
    </row>
    <row r="33" spans="1:247" s="35" customFormat="1" ht="30" x14ac:dyDescent="0.25">
      <c r="A33" s="18">
        <v>1</v>
      </c>
      <c r="B33" s="658" t="s">
        <v>123</v>
      </c>
      <c r="C33" s="113">
        <v>13125</v>
      </c>
      <c r="D33" s="107">
        <f t="shared" si="8"/>
        <v>8750</v>
      </c>
      <c r="E33" s="113">
        <f>8133+E34</f>
        <v>8166</v>
      </c>
      <c r="F33" s="118">
        <f>E33/D33*100</f>
        <v>93.325714285714284</v>
      </c>
      <c r="G33" s="465">
        <v>12773.512500000001</v>
      </c>
      <c r="H33" s="638">
        <f t="shared" si="9"/>
        <v>8515.68</v>
      </c>
      <c r="I33" s="458">
        <f>7889.85894+I34</f>
        <v>7921.9751999999999</v>
      </c>
      <c r="J33" s="457">
        <f>I33/H33*100</f>
        <v>93.028098754297943</v>
      </c>
    </row>
    <row r="34" spans="1:247" s="35" customFormat="1" ht="30.75" thickBot="1" x14ac:dyDescent="0.3">
      <c r="A34" s="18">
        <v>1</v>
      </c>
      <c r="B34" s="658" t="s">
        <v>125</v>
      </c>
      <c r="C34" s="113">
        <v>50</v>
      </c>
      <c r="D34" s="107">
        <f t="shared" si="8"/>
        <v>33</v>
      </c>
      <c r="E34" s="113">
        <v>33</v>
      </c>
      <c r="F34" s="118">
        <f>E34/D34*100</f>
        <v>100</v>
      </c>
      <c r="G34" s="465">
        <v>48.661000000000001</v>
      </c>
      <c r="H34" s="638">
        <f t="shared" si="9"/>
        <v>32.44</v>
      </c>
      <c r="I34" s="458">
        <v>32.116260000000004</v>
      </c>
      <c r="J34" s="457">
        <f>I34/H34*100</f>
        <v>99.002034525277452</v>
      </c>
    </row>
    <row r="35" spans="1:247" s="35" customFormat="1" ht="17.25" customHeight="1" thickBot="1" x14ac:dyDescent="0.3">
      <c r="A35" s="18">
        <v>1</v>
      </c>
      <c r="B35" s="111" t="s">
        <v>3</v>
      </c>
      <c r="C35" s="426"/>
      <c r="D35" s="426"/>
      <c r="E35" s="426"/>
      <c r="F35" s="427"/>
      <c r="G35" s="460">
        <f>G29+G24+G33</f>
        <v>36416.455140000005</v>
      </c>
      <c r="H35" s="460">
        <f>H29+H24+H33</f>
        <v>24277.65</v>
      </c>
      <c r="I35" s="460">
        <f>I29+I24+I33</f>
        <v>22132.379099999998</v>
      </c>
      <c r="J35" s="461">
        <f t="shared" si="6"/>
        <v>91.163597382777965</v>
      </c>
    </row>
    <row r="36" spans="1:247" s="32" customFormat="1" ht="15" customHeight="1" x14ac:dyDescent="0.25">
      <c r="A36" s="18">
        <v>1</v>
      </c>
      <c r="B36" s="88"/>
      <c r="C36" s="157"/>
      <c r="D36" s="157"/>
      <c r="E36" s="157"/>
      <c r="F36" s="157"/>
      <c r="G36" s="464"/>
      <c r="H36" s="464"/>
      <c r="I36" s="464"/>
      <c r="J36" s="464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/>
      <c r="CG36" s="33"/>
      <c r="CH36" s="33"/>
      <c r="CI36" s="33"/>
      <c r="CJ36" s="33"/>
      <c r="CK36" s="33"/>
      <c r="CL36" s="33"/>
      <c r="CM36" s="33"/>
      <c r="CN36" s="33"/>
      <c r="CO36" s="33"/>
      <c r="CP36" s="33"/>
      <c r="CQ36" s="33"/>
      <c r="CR36" s="33"/>
      <c r="CS36" s="33"/>
      <c r="CT36" s="33"/>
      <c r="CU36" s="33"/>
      <c r="CV36" s="33"/>
      <c r="CW36" s="33"/>
      <c r="CX36" s="33"/>
      <c r="CY36" s="33"/>
      <c r="CZ36" s="33"/>
      <c r="DA36" s="33"/>
      <c r="DB36" s="33"/>
      <c r="DC36" s="33"/>
      <c r="DD36" s="33"/>
      <c r="DE36" s="33"/>
      <c r="DF36" s="33"/>
      <c r="DG36" s="33"/>
      <c r="DH36" s="33"/>
      <c r="DI36" s="33"/>
      <c r="DJ36" s="33"/>
      <c r="DK36" s="33"/>
      <c r="DL36" s="33"/>
      <c r="DM36" s="33"/>
      <c r="DN36" s="33"/>
      <c r="DO36" s="33"/>
      <c r="DP36" s="33"/>
      <c r="DQ36" s="33"/>
      <c r="DR36" s="33"/>
      <c r="DS36" s="33"/>
      <c r="DT36" s="33"/>
      <c r="DU36" s="33"/>
      <c r="DV36" s="33"/>
      <c r="DW36" s="33"/>
      <c r="DX36" s="33"/>
      <c r="DY36" s="33"/>
      <c r="DZ36" s="33"/>
      <c r="EA36" s="33"/>
      <c r="EB36" s="33"/>
      <c r="EC36" s="33"/>
      <c r="ED36" s="33"/>
      <c r="EE36" s="33"/>
      <c r="EF36" s="33"/>
      <c r="EG36" s="33"/>
      <c r="EH36" s="33"/>
      <c r="EI36" s="33"/>
      <c r="EJ36" s="33"/>
      <c r="EK36" s="33"/>
      <c r="EL36" s="33"/>
      <c r="EM36" s="33"/>
      <c r="EN36" s="33"/>
      <c r="EO36" s="33"/>
      <c r="EP36" s="33"/>
      <c r="EQ36" s="33"/>
      <c r="ER36" s="33"/>
      <c r="ES36" s="33"/>
      <c r="ET36" s="33"/>
      <c r="EU36" s="33"/>
      <c r="EV36" s="33"/>
      <c r="EW36" s="33"/>
      <c r="EX36" s="33"/>
      <c r="EY36" s="33"/>
      <c r="EZ36" s="33"/>
      <c r="FA36" s="33"/>
      <c r="FB36" s="33"/>
      <c r="FC36" s="33"/>
      <c r="FD36" s="33"/>
      <c r="FE36" s="33"/>
      <c r="FF36" s="33"/>
      <c r="FG36" s="33"/>
      <c r="FH36" s="33"/>
      <c r="FI36" s="33"/>
      <c r="FJ36" s="33"/>
      <c r="FK36" s="33"/>
      <c r="FL36" s="33"/>
      <c r="FM36" s="33"/>
      <c r="FN36" s="33"/>
      <c r="FO36" s="33"/>
      <c r="FP36" s="33"/>
      <c r="FQ36" s="33"/>
      <c r="FR36" s="33"/>
      <c r="FS36" s="33"/>
      <c r="FT36" s="33"/>
      <c r="FU36" s="33"/>
      <c r="FV36" s="33"/>
      <c r="FW36" s="33"/>
      <c r="FX36" s="33"/>
      <c r="FY36" s="33"/>
      <c r="FZ36" s="33"/>
      <c r="GA36" s="33"/>
      <c r="GB36" s="33"/>
      <c r="GC36" s="33"/>
      <c r="GD36" s="33"/>
      <c r="GE36" s="33"/>
      <c r="GF36" s="33"/>
      <c r="GG36" s="33"/>
      <c r="GH36" s="33"/>
      <c r="GI36" s="33"/>
      <c r="GJ36" s="33"/>
      <c r="GK36" s="33"/>
      <c r="GL36" s="33"/>
      <c r="GM36" s="33"/>
      <c r="GN36" s="33"/>
      <c r="GO36" s="33"/>
      <c r="GP36" s="33"/>
      <c r="GQ36" s="33"/>
      <c r="GR36" s="33"/>
      <c r="GS36" s="33"/>
      <c r="GT36" s="33"/>
      <c r="GU36" s="33"/>
      <c r="GV36" s="33"/>
      <c r="GW36" s="33"/>
      <c r="GX36" s="33"/>
      <c r="GY36" s="33"/>
      <c r="GZ36" s="33"/>
      <c r="HA36" s="33"/>
      <c r="HB36" s="33"/>
      <c r="HC36" s="33"/>
      <c r="HD36" s="33"/>
      <c r="HE36" s="33"/>
      <c r="HF36" s="33"/>
      <c r="HG36" s="33"/>
      <c r="HH36" s="33"/>
      <c r="HI36" s="33"/>
      <c r="HJ36" s="33"/>
      <c r="HK36" s="33"/>
      <c r="HL36" s="33"/>
      <c r="HM36" s="33"/>
      <c r="HN36" s="33"/>
      <c r="HO36" s="33"/>
      <c r="HP36" s="33"/>
      <c r="HQ36" s="33"/>
      <c r="HR36" s="33"/>
      <c r="HS36" s="33"/>
      <c r="HT36" s="33"/>
      <c r="HU36" s="33"/>
      <c r="HV36" s="33"/>
      <c r="HW36" s="33"/>
      <c r="HX36" s="33"/>
      <c r="HY36" s="33"/>
      <c r="HZ36" s="33"/>
      <c r="IA36" s="33"/>
      <c r="IB36" s="33"/>
      <c r="IC36" s="33"/>
      <c r="ID36" s="33"/>
      <c r="IE36" s="33"/>
      <c r="IF36" s="33"/>
      <c r="IG36" s="33"/>
      <c r="IH36" s="33"/>
      <c r="II36" s="33"/>
      <c r="IJ36" s="33"/>
      <c r="IK36" s="33"/>
      <c r="IL36" s="33"/>
      <c r="IM36" s="33"/>
    </row>
    <row r="37" spans="1:247" s="10" customFormat="1" ht="32.25" customHeight="1" x14ac:dyDescent="0.25">
      <c r="A37" s="18">
        <v>1</v>
      </c>
      <c r="B37" s="171" t="s">
        <v>73</v>
      </c>
      <c r="C37" s="156"/>
      <c r="D37" s="156"/>
      <c r="E37" s="156"/>
      <c r="F37" s="156"/>
      <c r="G37" s="456"/>
      <c r="H37" s="456"/>
      <c r="I37" s="456"/>
      <c r="J37" s="456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</row>
    <row r="38" spans="1:247" s="35" customFormat="1" ht="30" x14ac:dyDescent="0.25">
      <c r="A38" s="18">
        <v>1</v>
      </c>
      <c r="B38" s="198" t="s">
        <v>120</v>
      </c>
      <c r="C38" s="113">
        <f>SUM(C39:C40)</f>
        <v>9156</v>
      </c>
      <c r="D38" s="113">
        <f>SUM(D39:D40)</f>
        <v>6104</v>
      </c>
      <c r="E38" s="113">
        <f>SUM(E39:E40)</f>
        <v>5420</v>
      </c>
      <c r="F38" s="118">
        <f t="shared" ref="F38:F44" si="10">E38/D38*100</f>
        <v>88.794233289646129</v>
      </c>
      <c r="G38" s="465">
        <f>SUM(G39:G40)</f>
        <v>12774.456339999999</v>
      </c>
      <c r="H38" s="465">
        <f>SUM(H39:H40)</f>
        <v>8516.3100000000013</v>
      </c>
      <c r="I38" s="465">
        <f>SUM(I39:I40)</f>
        <v>8243.8235700000005</v>
      </c>
      <c r="J38" s="459">
        <f t="shared" ref="J38:J45" si="11">I38/H38*100</f>
        <v>96.800416729780849</v>
      </c>
    </row>
    <row r="39" spans="1:247" s="35" customFormat="1" ht="30" x14ac:dyDescent="0.25">
      <c r="A39" s="18">
        <v>1</v>
      </c>
      <c r="B39" s="71" t="s">
        <v>79</v>
      </c>
      <c r="C39" s="113">
        <v>7042</v>
      </c>
      <c r="D39" s="107">
        <f>ROUND(C39/12*$B$3,0)</f>
        <v>4695</v>
      </c>
      <c r="E39" s="113">
        <v>5033</v>
      </c>
      <c r="F39" s="118">
        <f t="shared" si="10"/>
        <v>107.19914802981896</v>
      </c>
      <c r="G39" s="465">
        <v>8925.8931999999986</v>
      </c>
      <c r="H39" s="638">
        <f t="shared" ref="H39:H40" si="12">ROUND(G39/12*$B$3,2)</f>
        <v>5950.6</v>
      </c>
      <c r="I39" s="465">
        <v>7563.5672400000003</v>
      </c>
      <c r="J39" s="459">
        <f t="shared" si="11"/>
        <v>127.10595973515275</v>
      </c>
    </row>
    <row r="40" spans="1:247" s="35" customFormat="1" ht="30" x14ac:dyDescent="0.25">
      <c r="A40" s="18">
        <v>1</v>
      </c>
      <c r="B40" s="71" t="s">
        <v>80</v>
      </c>
      <c r="C40" s="113">
        <v>2114</v>
      </c>
      <c r="D40" s="107">
        <f>ROUND(C40/12*$B$3,0)</f>
        <v>1409</v>
      </c>
      <c r="E40" s="113">
        <v>387</v>
      </c>
      <c r="F40" s="118">
        <f t="shared" si="10"/>
        <v>27.466288147622425</v>
      </c>
      <c r="G40" s="465">
        <v>3848.5631399999997</v>
      </c>
      <c r="H40" s="638">
        <f t="shared" si="12"/>
        <v>2565.71</v>
      </c>
      <c r="I40" s="465">
        <v>680.25632999999993</v>
      </c>
      <c r="J40" s="459">
        <f t="shared" si="11"/>
        <v>26.513375634814533</v>
      </c>
    </row>
    <row r="41" spans="1:247" s="35" customFormat="1" ht="30" x14ac:dyDescent="0.25">
      <c r="A41" s="18">
        <v>1</v>
      </c>
      <c r="B41" s="198" t="s">
        <v>112</v>
      </c>
      <c r="C41" s="113">
        <f>SUM(C42)</f>
        <v>1000</v>
      </c>
      <c r="D41" s="113">
        <f t="shared" ref="D41:I41" si="13">SUM(D42)</f>
        <v>667</v>
      </c>
      <c r="E41" s="113">
        <f t="shared" si="13"/>
        <v>758</v>
      </c>
      <c r="F41" s="118">
        <f t="shared" si="10"/>
        <v>113.6431784107946</v>
      </c>
      <c r="G41" s="458">
        <f t="shared" si="13"/>
        <v>2120.5100000000002</v>
      </c>
      <c r="H41" s="458">
        <f t="shared" si="13"/>
        <v>1413.67</v>
      </c>
      <c r="I41" s="458">
        <f t="shared" si="13"/>
        <v>1594.83806</v>
      </c>
      <c r="J41" s="459">
        <f t="shared" si="11"/>
        <v>112.81544207629786</v>
      </c>
    </row>
    <row r="42" spans="1:247" s="35" customFormat="1" ht="30" x14ac:dyDescent="0.25">
      <c r="A42" s="18">
        <v>1</v>
      </c>
      <c r="B42" s="286" t="s">
        <v>108</v>
      </c>
      <c r="C42" s="174">
        <v>1000</v>
      </c>
      <c r="D42" s="300">
        <f>ROUND(C42/12*$B$3,0)</f>
        <v>667</v>
      </c>
      <c r="E42" s="174">
        <v>758</v>
      </c>
      <c r="F42" s="377">
        <f t="shared" si="10"/>
        <v>113.6431784107946</v>
      </c>
      <c r="G42" s="639">
        <f>2120510/1000</f>
        <v>2120.5100000000002</v>
      </c>
      <c r="H42" s="638">
        <f t="shared" ref="H42:H44" si="14">ROUND(G42/12*$B$3,2)</f>
        <v>1413.67</v>
      </c>
      <c r="I42" s="466">
        <v>1594.83806</v>
      </c>
      <c r="J42" s="459">
        <f t="shared" si="11"/>
        <v>112.81544207629786</v>
      </c>
    </row>
    <row r="43" spans="1:247" s="35" customFormat="1" ht="30" x14ac:dyDescent="0.25">
      <c r="A43" s="18">
        <v>1</v>
      </c>
      <c r="B43" s="658" t="s">
        <v>123</v>
      </c>
      <c r="C43" s="113">
        <v>11460</v>
      </c>
      <c r="D43" s="107">
        <f>ROUND(C43/12*$B$3,0)</f>
        <v>7640</v>
      </c>
      <c r="E43" s="113">
        <f>3221+E44</f>
        <v>6862</v>
      </c>
      <c r="F43" s="118">
        <f t="shared" si="10"/>
        <v>89.81675392670158</v>
      </c>
      <c r="G43" s="465">
        <v>11153.101200000001</v>
      </c>
      <c r="H43" s="638">
        <f t="shared" si="14"/>
        <v>7435.4</v>
      </c>
      <c r="I43" s="465">
        <f>3125.38621+I44</f>
        <v>6657.4942300000002</v>
      </c>
      <c r="J43" s="459">
        <f>I43/H43*100</f>
        <v>89.537808725825116</v>
      </c>
    </row>
    <row r="44" spans="1:247" s="35" customFormat="1" ht="30.75" thickBot="1" x14ac:dyDescent="0.3">
      <c r="A44" s="18">
        <v>1</v>
      </c>
      <c r="B44" s="658" t="s">
        <v>125</v>
      </c>
      <c r="C44" s="113">
        <v>2000</v>
      </c>
      <c r="D44" s="107">
        <f>ROUND(C44/12*$B$3,0)</f>
        <v>1333</v>
      </c>
      <c r="E44" s="113">
        <v>3641</v>
      </c>
      <c r="F44" s="118">
        <f t="shared" si="10"/>
        <v>273.14328582145538</v>
      </c>
      <c r="G44" s="465">
        <v>1946.4400000000003</v>
      </c>
      <c r="H44" s="638">
        <f t="shared" si="14"/>
        <v>1297.6300000000001</v>
      </c>
      <c r="I44" s="465">
        <v>3532.1080200000001</v>
      </c>
      <c r="J44" s="459">
        <f>I44/H44*100</f>
        <v>272.19685272381184</v>
      </c>
    </row>
    <row r="45" spans="1:247" s="35" customFormat="1" ht="17.25" customHeight="1" thickBot="1" x14ac:dyDescent="0.3">
      <c r="A45" s="18">
        <v>1</v>
      </c>
      <c r="B45" s="111" t="s">
        <v>3</v>
      </c>
      <c r="C45" s="426"/>
      <c r="D45" s="426"/>
      <c r="E45" s="426"/>
      <c r="F45" s="427"/>
      <c r="G45" s="460">
        <f>G38+G41+G43</f>
        <v>26048.06754</v>
      </c>
      <c r="H45" s="460">
        <f>H38+H41+H43</f>
        <v>17365.38</v>
      </c>
      <c r="I45" s="460">
        <f>I38+I41+I43</f>
        <v>16496.155859999999</v>
      </c>
      <c r="J45" s="467">
        <f t="shared" si="11"/>
        <v>94.994499746046429</v>
      </c>
    </row>
    <row r="46" spans="1:247" ht="15" customHeight="1" x14ac:dyDescent="0.25">
      <c r="A46" s="18">
        <v>1</v>
      </c>
      <c r="B46" s="91"/>
      <c r="C46" s="155"/>
      <c r="D46" s="155"/>
      <c r="E46" s="155"/>
      <c r="F46" s="155"/>
      <c r="G46" s="468"/>
      <c r="H46" s="468"/>
      <c r="I46" s="468"/>
      <c r="J46" s="468"/>
    </row>
    <row r="47" spans="1:247" ht="33" customHeight="1" x14ac:dyDescent="0.25">
      <c r="A47" s="18">
        <v>1</v>
      </c>
      <c r="B47" s="171" t="s">
        <v>74</v>
      </c>
      <c r="C47" s="156"/>
      <c r="D47" s="156"/>
      <c r="E47" s="156"/>
      <c r="F47" s="156"/>
      <c r="G47" s="456"/>
      <c r="H47" s="456"/>
      <c r="I47" s="456"/>
      <c r="J47" s="456"/>
    </row>
    <row r="48" spans="1:247" s="35" customFormat="1" ht="30" x14ac:dyDescent="0.25">
      <c r="A48" s="18">
        <v>1</v>
      </c>
      <c r="B48" s="198" t="s">
        <v>120</v>
      </c>
      <c r="C48" s="113">
        <f>SUM(C49:C50)</f>
        <v>20075</v>
      </c>
      <c r="D48" s="113">
        <f>SUM(D49:D50)</f>
        <v>13384</v>
      </c>
      <c r="E48" s="113">
        <f>SUM(E49:E50)</f>
        <v>16567</v>
      </c>
      <c r="F48" s="118">
        <f t="shared" ref="F48:F55" si="15">E48/D48*100</f>
        <v>123.78212791392708</v>
      </c>
      <c r="G48" s="465">
        <f>SUM(G49:G50)</f>
        <v>33519.870760000005</v>
      </c>
      <c r="H48" s="465">
        <f>SUM(H49:H50)</f>
        <v>22346.58</v>
      </c>
      <c r="I48" s="465">
        <f>SUM(I49:I50)</f>
        <v>27639.026160000005</v>
      </c>
      <c r="J48" s="459">
        <f t="shared" ref="J48:J56" si="16">I48/H48*100</f>
        <v>123.68347263876622</v>
      </c>
    </row>
    <row r="49" spans="1:10" s="35" customFormat="1" ht="30" x14ac:dyDescent="0.25">
      <c r="A49" s="18">
        <v>1</v>
      </c>
      <c r="B49" s="71" t="s">
        <v>79</v>
      </c>
      <c r="C49" s="113">
        <v>15442</v>
      </c>
      <c r="D49" s="107">
        <f>ROUND(C49/12*$B$3,0)</f>
        <v>10295</v>
      </c>
      <c r="E49" s="113">
        <v>12916</v>
      </c>
      <c r="F49" s="118">
        <f t="shared" si="15"/>
        <v>125.4589606605148</v>
      </c>
      <c r="G49" s="465">
        <v>25301.366020000001</v>
      </c>
      <c r="H49" s="638">
        <f t="shared" ref="H49:H50" si="17">ROUND(G49/12*$B$3,2)</f>
        <v>16867.580000000002</v>
      </c>
      <c r="I49" s="465">
        <v>20933.524930000003</v>
      </c>
      <c r="J49" s="459">
        <f t="shared" si="16"/>
        <v>124.10508757035687</v>
      </c>
    </row>
    <row r="50" spans="1:10" s="35" customFormat="1" ht="30" x14ac:dyDescent="0.25">
      <c r="A50" s="18">
        <v>1</v>
      </c>
      <c r="B50" s="71" t="s">
        <v>80</v>
      </c>
      <c r="C50" s="113">
        <v>4633</v>
      </c>
      <c r="D50" s="107">
        <f>ROUND(C50/12*$B$3,0)</f>
        <v>3089</v>
      </c>
      <c r="E50" s="113">
        <v>3651</v>
      </c>
      <c r="F50" s="118">
        <f t="shared" si="15"/>
        <v>118.19359015862739</v>
      </c>
      <c r="G50" s="465">
        <v>8218.5047400000003</v>
      </c>
      <c r="H50" s="638">
        <f t="shared" si="17"/>
        <v>5479</v>
      </c>
      <c r="I50" s="465">
        <v>6705.5012300000017</v>
      </c>
      <c r="J50" s="459">
        <f t="shared" si="16"/>
        <v>122.38549425077572</v>
      </c>
    </row>
    <row r="51" spans="1:10" s="35" customFormat="1" ht="30" x14ac:dyDescent="0.25">
      <c r="A51" s="18">
        <v>1</v>
      </c>
      <c r="B51" s="199" t="s">
        <v>112</v>
      </c>
      <c r="C51" s="113">
        <f>SUM(C52)</f>
        <v>8000</v>
      </c>
      <c r="D51" s="113">
        <f t="shared" ref="D51:I51" si="18">SUM(D52)</f>
        <v>5333</v>
      </c>
      <c r="E51" s="113">
        <f t="shared" si="18"/>
        <v>5609</v>
      </c>
      <c r="F51" s="118">
        <f t="shared" si="15"/>
        <v>105.1753234577161</v>
      </c>
      <c r="G51" s="458">
        <f t="shared" si="18"/>
        <v>16964.080000000002</v>
      </c>
      <c r="H51" s="458">
        <f t="shared" si="18"/>
        <v>11309.39</v>
      </c>
      <c r="I51" s="458">
        <f t="shared" si="18"/>
        <v>11915.922689999998</v>
      </c>
      <c r="J51" s="459">
        <f t="shared" si="16"/>
        <v>105.36308934434129</v>
      </c>
    </row>
    <row r="52" spans="1:10" s="35" customFormat="1" ht="30" x14ac:dyDescent="0.25">
      <c r="A52" s="18">
        <v>1</v>
      </c>
      <c r="B52" s="286" t="s">
        <v>108</v>
      </c>
      <c r="C52" s="174">
        <v>8000</v>
      </c>
      <c r="D52" s="300">
        <f>ROUND(C52/12*$B$3,0)</f>
        <v>5333</v>
      </c>
      <c r="E52" s="174">
        <v>5609</v>
      </c>
      <c r="F52" s="377">
        <f t="shared" si="15"/>
        <v>105.1753234577161</v>
      </c>
      <c r="G52" s="639">
        <f>16964080/1000</f>
        <v>16964.080000000002</v>
      </c>
      <c r="H52" s="638">
        <f t="shared" ref="H52:H55" si="19">ROUND(G52/12*$B$3,2)</f>
        <v>11309.39</v>
      </c>
      <c r="I52" s="466">
        <v>11915.922689999998</v>
      </c>
      <c r="J52" s="459">
        <f t="shared" si="16"/>
        <v>105.36308934434129</v>
      </c>
    </row>
    <row r="53" spans="1:10" s="35" customFormat="1" ht="30" x14ac:dyDescent="0.25">
      <c r="A53" s="18">
        <v>1</v>
      </c>
      <c r="B53" s="116" t="s">
        <v>123</v>
      </c>
      <c r="C53" s="113">
        <v>36326</v>
      </c>
      <c r="D53" s="107">
        <f>ROUND(C53/12*$B$3,0)</f>
        <v>24217</v>
      </c>
      <c r="E53" s="113">
        <f>8311+E54+E55</f>
        <v>24785</v>
      </c>
      <c r="F53" s="118">
        <f t="shared" si="15"/>
        <v>102.34545980096625</v>
      </c>
      <c r="G53" s="465">
        <v>34605.756759999997</v>
      </c>
      <c r="H53" s="638">
        <f t="shared" si="19"/>
        <v>23070.5</v>
      </c>
      <c r="I53" s="465">
        <f>8038.24952+I54+I55</f>
        <v>24001.070440000003</v>
      </c>
      <c r="J53" s="459">
        <f>I53/H53*100</f>
        <v>104.03359459049437</v>
      </c>
    </row>
    <row r="54" spans="1:10" s="35" customFormat="1" ht="30" x14ac:dyDescent="0.25">
      <c r="A54" s="18">
        <v>1</v>
      </c>
      <c r="B54" s="116" t="s">
        <v>124</v>
      </c>
      <c r="C54" s="113">
        <v>15000</v>
      </c>
      <c r="D54" s="107">
        <f>ROUND(C54/12*$B$3,0)</f>
        <v>10000</v>
      </c>
      <c r="E54" s="113">
        <v>8717</v>
      </c>
      <c r="F54" s="118">
        <f t="shared" si="15"/>
        <v>87.17</v>
      </c>
      <c r="G54" s="465">
        <v>14598.299999999997</v>
      </c>
      <c r="H54" s="638">
        <f t="shared" si="19"/>
        <v>9732.2000000000007</v>
      </c>
      <c r="I54" s="465">
        <v>8420.1902300000002</v>
      </c>
      <c r="J54" s="459">
        <f t="shared" ref="J54:J55" si="20">I54/H54*100</f>
        <v>86.518877848790609</v>
      </c>
    </row>
    <row r="55" spans="1:10" s="35" customFormat="1" ht="15.75" thickBot="1" x14ac:dyDescent="0.3">
      <c r="A55" s="18">
        <v>1</v>
      </c>
      <c r="B55" s="116" t="s">
        <v>125</v>
      </c>
      <c r="C55" s="113">
        <v>7800</v>
      </c>
      <c r="D55" s="107">
        <f>ROUND(C55/12*$B$3,0)</f>
        <v>5200</v>
      </c>
      <c r="E55" s="113">
        <v>7757</v>
      </c>
      <c r="F55" s="118">
        <f t="shared" si="15"/>
        <v>149.17307692307693</v>
      </c>
      <c r="G55" s="465">
        <v>7591.1159999999991</v>
      </c>
      <c r="H55" s="638">
        <f t="shared" si="19"/>
        <v>5060.74</v>
      </c>
      <c r="I55" s="465">
        <v>7542.63069</v>
      </c>
      <c r="J55" s="459">
        <f t="shared" si="20"/>
        <v>149.04205096487865</v>
      </c>
    </row>
    <row r="56" spans="1:10" s="35" customFormat="1" ht="15" customHeight="1" thickBot="1" x14ac:dyDescent="0.3">
      <c r="A56" s="18">
        <v>1</v>
      </c>
      <c r="B56" s="111" t="s">
        <v>3</v>
      </c>
      <c r="C56" s="426"/>
      <c r="D56" s="426"/>
      <c r="E56" s="426"/>
      <c r="F56" s="427"/>
      <c r="G56" s="460">
        <f>G48+G51+G53</f>
        <v>85089.707519999996</v>
      </c>
      <c r="H56" s="460">
        <f>H48+H51+H53</f>
        <v>56726.47</v>
      </c>
      <c r="I56" s="460">
        <f>I48+I51+I53</f>
        <v>63556.019290000004</v>
      </c>
      <c r="J56" s="467">
        <f t="shared" si="16"/>
        <v>112.03943994752362</v>
      </c>
    </row>
    <row r="57" spans="1:10" ht="15" customHeight="1" x14ac:dyDescent="0.25">
      <c r="A57" s="18">
        <v>1</v>
      </c>
      <c r="B57" s="90"/>
      <c r="C57" s="89"/>
      <c r="D57" s="89"/>
      <c r="E57" s="157"/>
      <c r="F57" s="89"/>
      <c r="G57" s="463"/>
      <c r="H57" s="463"/>
      <c r="I57" s="464"/>
      <c r="J57" s="463"/>
    </row>
    <row r="58" spans="1:10" ht="29.25" x14ac:dyDescent="0.25">
      <c r="A58" s="18">
        <v>1</v>
      </c>
      <c r="B58" s="169" t="s">
        <v>75</v>
      </c>
      <c r="C58" s="158"/>
      <c r="D58" s="158"/>
      <c r="E58" s="158"/>
      <c r="F58" s="158"/>
      <c r="G58" s="456"/>
      <c r="H58" s="456"/>
      <c r="I58" s="456"/>
      <c r="J58" s="456"/>
    </row>
    <row r="59" spans="1:10" s="35" customFormat="1" ht="30" x14ac:dyDescent="0.25">
      <c r="A59" s="18">
        <v>1</v>
      </c>
      <c r="B59" s="198" t="s">
        <v>120</v>
      </c>
      <c r="C59" s="113">
        <f>SUM(C60:C61)</f>
        <v>553</v>
      </c>
      <c r="D59" s="113">
        <f>SUM(D60:D61)</f>
        <v>369</v>
      </c>
      <c r="E59" s="113">
        <f>SUM(E60:E61)</f>
        <v>552</v>
      </c>
      <c r="F59" s="118">
        <f t="shared" ref="F59:F67" si="21">E59/D59*100</f>
        <v>149.59349593495935</v>
      </c>
      <c r="G59" s="465">
        <f>SUM(G60:G61)</f>
        <v>3628.8302400000002</v>
      </c>
      <c r="H59" s="465">
        <f>SUM(H60:H61)</f>
        <v>2419.2200000000003</v>
      </c>
      <c r="I59" s="465">
        <f>SUM(I60:I61)</f>
        <v>3584.20802</v>
      </c>
      <c r="J59" s="465">
        <f>I59/H59*100</f>
        <v>148.15552202776101</v>
      </c>
    </row>
    <row r="60" spans="1:10" s="35" customFormat="1" ht="36" customHeight="1" x14ac:dyDescent="0.25">
      <c r="A60" s="18">
        <v>1</v>
      </c>
      <c r="B60" s="71" t="s">
        <v>114</v>
      </c>
      <c r="C60" s="113">
        <v>120</v>
      </c>
      <c r="D60" s="107">
        <f>ROUND(C60/12*$B$3,0)</f>
        <v>80</v>
      </c>
      <c r="E60" s="113">
        <v>119</v>
      </c>
      <c r="F60" s="118">
        <f t="shared" si="21"/>
        <v>148.75</v>
      </c>
      <c r="G60" s="465">
        <v>787.44960000000003</v>
      </c>
      <c r="H60" s="638">
        <f t="shared" ref="H60:H61" si="22">ROUND(G60/12*$B$3,2)</f>
        <v>524.97</v>
      </c>
      <c r="I60" s="465">
        <v>779.57510000000002</v>
      </c>
      <c r="J60" s="465">
        <f t="shared" ref="J60:J68" si="23">I60/H60*100</f>
        <v>148.49898089414631</v>
      </c>
    </row>
    <row r="61" spans="1:10" s="35" customFormat="1" ht="30" x14ac:dyDescent="0.25">
      <c r="A61" s="18">
        <v>1</v>
      </c>
      <c r="B61" s="71" t="s">
        <v>115</v>
      </c>
      <c r="C61" s="113">
        <v>433</v>
      </c>
      <c r="D61" s="107">
        <f>ROUND(C61/12*$B$3,0)</f>
        <v>289</v>
      </c>
      <c r="E61" s="113">
        <v>433</v>
      </c>
      <c r="F61" s="118">
        <f t="shared" si="21"/>
        <v>149.82698961937717</v>
      </c>
      <c r="G61" s="465">
        <v>2841.3806400000003</v>
      </c>
      <c r="H61" s="638">
        <f t="shared" si="22"/>
        <v>1894.25</v>
      </c>
      <c r="I61" s="465">
        <v>2804.63292</v>
      </c>
      <c r="J61" s="465">
        <f t="shared" si="23"/>
        <v>148.06033628084992</v>
      </c>
    </row>
    <row r="62" spans="1:10" s="35" customFormat="1" ht="30" x14ac:dyDescent="0.25">
      <c r="A62" s="18">
        <v>1</v>
      </c>
      <c r="B62" s="198" t="s">
        <v>112</v>
      </c>
      <c r="C62" s="113">
        <f>SUM(C63:C64)</f>
        <v>47614</v>
      </c>
      <c r="D62" s="113">
        <f>SUM(D63:D64)</f>
        <v>31743</v>
      </c>
      <c r="E62" s="113">
        <f>SUM(E63:E64)</f>
        <v>32378</v>
      </c>
      <c r="F62" s="118">
        <f t="shared" si="21"/>
        <v>102.00044104211952</v>
      </c>
      <c r="G62" s="465">
        <f>SUM(G63:G64)</f>
        <v>95451.935379999995</v>
      </c>
      <c r="H62" s="465">
        <f>SUM(H63:H64)</f>
        <v>63634.62</v>
      </c>
      <c r="I62" s="465">
        <f>SUM(I63:I64)</f>
        <v>64672.617549999995</v>
      </c>
      <c r="J62" s="465">
        <f t="shared" si="23"/>
        <v>101.63118370157626</v>
      </c>
    </row>
    <row r="63" spans="1:10" s="35" customFormat="1" ht="60" x14ac:dyDescent="0.25">
      <c r="A63" s="18">
        <v>1</v>
      </c>
      <c r="B63" s="71" t="s">
        <v>119</v>
      </c>
      <c r="C63" s="113">
        <v>27514</v>
      </c>
      <c r="D63" s="107">
        <f t="shared" ref="D63:D67" si="24">ROUND(C63/12*$B$3,0)</f>
        <v>18343</v>
      </c>
      <c r="E63" s="113">
        <v>19054</v>
      </c>
      <c r="F63" s="118">
        <f t="shared" si="21"/>
        <v>103.87613803630813</v>
      </c>
      <c r="G63" s="638">
        <f>75750719.38/1000</f>
        <v>75750.719379999995</v>
      </c>
      <c r="H63" s="638">
        <f t="shared" ref="H63:H66" si="25">ROUND(G63/12*$B$3,2)</f>
        <v>50500.480000000003</v>
      </c>
      <c r="I63" s="465">
        <v>49980.589579999993</v>
      </c>
      <c r="J63" s="465">
        <f t="shared" si="23"/>
        <v>98.970523804922223</v>
      </c>
    </row>
    <row r="64" spans="1:10" s="35" customFormat="1" ht="45" x14ac:dyDescent="0.25">
      <c r="A64" s="18">
        <v>1</v>
      </c>
      <c r="B64" s="71" t="s">
        <v>109</v>
      </c>
      <c r="C64" s="113">
        <v>20100</v>
      </c>
      <c r="D64" s="107">
        <f t="shared" si="24"/>
        <v>13400</v>
      </c>
      <c r="E64" s="113">
        <v>13324</v>
      </c>
      <c r="F64" s="118">
        <f t="shared" si="21"/>
        <v>99.432835820895519</v>
      </c>
      <c r="G64" s="638">
        <f>19701216/1000</f>
        <v>19701.216</v>
      </c>
      <c r="H64" s="638">
        <f t="shared" si="25"/>
        <v>13134.14</v>
      </c>
      <c r="I64" s="465">
        <v>14692.027970000001</v>
      </c>
      <c r="J64" s="465">
        <f t="shared" si="23"/>
        <v>111.86136260158641</v>
      </c>
    </row>
    <row r="65" spans="1:10" s="35" customFormat="1" ht="38.1" customHeight="1" x14ac:dyDescent="0.25">
      <c r="A65" s="18">
        <v>1</v>
      </c>
      <c r="B65" s="658" t="s">
        <v>123</v>
      </c>
      <c r="C65" s="113">
        <v>26600</v>
      </c>
      <c r="D65" s="107">
        <f t="shared" si="24"/>
        <v>17733</v>
      </c>
      <c r="E65" s="113">
        <f>10472+E66+E67</f>
        <v>17969</v>
      </c>
      <c r="F65" s="118">
        <f t="shared" si="21"/>
        <v>101.33085208368577</v>
      </c>
      <c r="G65" s="465">
        <v>25887.651999999998</v>
      </c>
      <c r="H65" s="638">
        <f t="shared" si="25"/>
        <v>17258.43</v>
      </c>
      <c r="I65" s="465">
        <f>10020.83992+I66+I67</f>
        <v>17181.170620000001</v>
      </c>
      <c r="J65" s="465">
        <f t="shared" si="23"/>
        <v>99.552338306555129</v>
      </c>
    </row>
    <row r="66" spans="1:10" s="35" customFormat="1" ht="29.25" customHeight="1" x14ac:dyDescent="0.25">
      <c r="A66" s="18">
        <v>1</v>
      </c>
      <c r="B66" s="658" t="s">
        <v>124</v>
      </c>
      <c r="C66" s="113">
        <v>5100</v>
      </c>
      <c r="D66" s="107">
        <f t="shared" si="24"/>
        <v>3400</v>
      </c>
      <c r="E66" s="113">
        <v>7159</v>
      </c>
      <c r="F66" s="118">
        <f t="shared" si="21"/>
        <v>210.55882352941177</v>
      </c>
      <c r="G66" s="465">
        <v>4963.4219999999996</v>
      </c>
      <c r="H66" s="638">
        <f t="shared" si="25"/>
        <v>3308.95</v>
      </c>
      <c r="I66" s="465">
        <v>6844.5127400000001</v>
      </c>
      <c r="J66" s="465">
        <f t="shared" si="23"/>
        <v>206.84847882258723</v>
      </c>
    </row>
    <row r="67" spans="1:10" s="35" customFormat="1" ht="20.25" customHeight="1" thickBot="1" x14ac:dyDescent="0.3">
      <c r="A67" s="18"/>
      <c r="B67" s="673" t="s">
        <v>125</v>
      </c>
      <c r="C67" s="621">
        <v>500</v>
      </c>
      <c r="D67" s="620">
        <f t="shared" si="24"/>
        <v>333</v>
      </c>
      <c r="E67" s="621">
        <v>338</v>
      </c>
      <c r="F67" s="140">
        <f t="shared" si="21"/>
        <v>101.50150150150151</v>
      </c>
      <c r="G67" s="465">
        <v>486.61</v>
      </c>
      <c r="H67" s="717">
        <f>ROUND(G67/12*$B$3,2)</f>
        <v>324.41000000000003</v>
      </c>
      <c r="I67" s="716">
        <v>315.81795999999997</v>
      </c>
      <c r="J67" s="465">
        <f t="shared" si="23"/>
        <v>97.351487315434156</v>
      </c>
    </row>
    <row r="68" spans="1:10" s="35" customFormat="1" ht="15.75" thickBot="1" x14ac:dyDescent="0.3">
      <c r="A68" s="18">
        <v>1</v>
      </c>
      <c r="B68" s="111" t="s">
        <v>3</v>
      </c>
      <c r="C68" s="426"/>
      <c r="D68" s="426"/>
      <c r="E68" s="426"/>
      <c r="F68" s="427"/>
      <c r="G68" s="471">
        <f>G62+G59+G65</f>
        <v>124968.41761999999</v>
      </c>
      <c r="H68" s="471">
        <f>H62+H59+H65</f>
        <v>83312.26999999999</v>
      </c>
      <c r="I68" s="471">
        <f>I62+I59+I65</f>
        <v>85437.996190000005</v>
      </c>
      <c r="J68" s="471">
        <f t="shared" si="23"/>
        <v>102.55151634927246</v>
      </c>
    </row>
    <row r="69" spans="1:10" ht="15" customHeight="1" x14ac:dyDescent="0.25">
      <c r="A69" s="18">
        <v>1</v>
      </c>
      <c r="B69" s="78"/>
      <c r="C69" s="52"/>
      <c r="D69" s="52"/>
      <c r="E69" s="159"/>
      <c r="F69" s="52"/>
      <c r="G69" s="472"/>
      <c r="H69" s="472"/>
      <c r="I69" s="473"/>
      <c r="J69" s="472"/>
    </row>
    <row r="70" spans="1:10" ht="29.25" customHeight="1" x14ac:dyDescent="0.25">
      <c r="A70" s="18">
        <v>1</v>
      </c>
      <c r="B70" s="171" t="s">
        <v>76</v>
      </c>
      <c r="C70" s="158"/>
      <c r="D70" s="158"/>
      <c r="E70" s="158"/>
      <c r="F70" s="158"/>
      <c r="G70" s="456"/>
      <c r="H70" s="456"/>
      <c r="I70" s="456"/>
      <c r="J70" s="456"/>
    </row>
    <row r="71" spans="1:10" s="35" customFormat="1" ht="32.450000000000003" customHeight="1" x14ac:dyDescent="0.25">
      <c r="A71" s="18">
        <v>1</v>
      </c>
      <c r="B71" s="198" t="s">
        <v>120</v>
      </c>
      <c r="C71" s="113">
        <f>SUM(C72:C73)</f>
        <v>5781</v>
      </c>
      <c r="D71" s="113">
        <f>SUM(D72:D73)</f>
        <v>3854</v>
      </c>
      <c r="E71" s="113">
        <f>SUM(E72:E73)</f>
        <v>4365</v>
      </c>
      <c r="F71" s="118">
        <f t="shared" ref="F71:F76" si="26">E71/D71*100</f>
        <v>113.25895173845355</v>
      </c>
      <c r="G71" s="465">
        <f>SUM(G72:G73)</f>
        <v>8100.9496400000007</v>
      </c>
      <c r="H71" s="465">
        <f>SUM(H72:H73)</f>
        <v>5400.63</v>
      </c>
      <c r="I71" s="465">
        <f>SUM(I72:I73)</f>
        <v>6360.7685600000013</v>
      </c>
      <c r="J71" s="465">
        <f t="shared" ref="J71:J77" si="27">I71/H71*100</f>
        <v>117.77826957225363</v>
      </c>
    </row>
    <row r="72" spans="1:10" s="35" customFormat="1" ht="38.1" customHeight="1" x14ac:dyDescent="0.25">
      <c r="A72" s="18">
        <v>1</v>
      </c>
      <c r="B72" s="71" t="s">
        <v>79</v>
      </c>
      <c r="C72" s="113">
        <v>4447</v>
      </c>
      <c r="D72" s="107">
        <f>ROUND(C72/12*$B$3,0)</f>
        <v>2965</v>
      </c>
      <c r="E72" s="113">
        <v>3192</v>
      </c>
      <c r="F72" s="118">
        <f t="shared" si="26"/>
        <v>107.65598650927488</v>
      </c>
      <c r="G72" s="465">
        <v>5786.8860000000004</v>
      </c>
      <c r="H72" s="638">
        <f t="shared" ref="H72:H73" si="28">ROUND(G72/12*$B$3,2)</f>
        <v>3857.92</v>
      </c>
      <c r="I72" s="465">
        <v>4426.7753000000012</v>
      </c>
      <c r="J72" s="465">
        <f t="shared" si="27"/>
        <v>114.74512949983414</v>
      </c>
    </row>
    <row r="73" spans="1:10" s="35" customFormat="1" ht="38.1" customHeight="1" x14ac:dyDescent="0.25">
      <c r="A73" s="18">
        <v>1</v>
      </c>
      <c r="B73" s="71" t="s">
        <v>80</v>
      </c>
      <c r="C73" s="113">
        <v>1334</v>
      </c>
      <c r="D73" s="107">
        <f>ROUND(C73/12*$B$3,0)</f>
        <v>889</v>
      </c>
      <c r="E73" s="113">
        <v>1173</v>
      </c>
      <c r="F73" s="118">
        <f t="shared" si="26"/>
        <v>131.94600674915634</v>
      </c>
      <c r="G73" s="465">
        <v>2314.0636399999999</v>
      </c>
      <c r="H73" s="638">
        <f t="shared" si="28"/>
        <v>1542.71</v>
      </c>
      <c r="I73" s="465">
        <v>1933.99326</v>
      </c>
      <c r="J73" s="465">
        <f t="shared" si="27"/>
        <v>125.3633709511185</v>
      </c>
    </row>
    <row r="74" spans="1:10" s="35" customFormat="1" ht="30" x14ac:dyDescent="0.25">
      <c r="A74" s="18">
        <v>1</v>
      </c>
      <c r="B74" s="199" t="s">
        <v>112</v>
      </c>
      <c r="C74" s="113">
        <f>SUM(C75)</f>
        <v>100</v>
      </c>
      <c r="D74" s="113">
        <f t="shared" ref="D74:I74" si="29">SUM(D75)</f>
        <v>67</v>
      </c>
      <c r="E74" s="113">
        <f t="shared" si="29"/>
        <v>63</v>
      </c>
      <c r="F74" s="118">
        <f t="shared" si="26"/>
        <v>94.029850746268664</v>
      </c>
      <c r="G74" s="458">
        <f t="shared" si="29"/>
        <v>212.05099999999999</v>
      </c>
      <c r="H74" s="458">
        <f t="shared" si="29"/>
        <v>141.37</v>
      </c>
      <c r="I74" s="458">
        <f t="shared" si="29"/>
        <v>129.58054999999999</v>
      </c>
      <c r="J74" s="465">
        <f t="shared" si="27"/>
        <v>91.660571549833762</v>
      </c>
    </row>
    <row r="75" spans="1:10" s="35" customFormat="1" ht="38.1" customHeight="1" x14ac:dyDescent="0.25">
      <c r="A75" s="18">
        <v>1</v>
      </c>
      <c r="B75" s="286" t="s">
        <v>108</v>
      </c>
      <c r="C75" s="174">
        <v>100</v>
      </c>
      <c r="D75" s="300">
        <f>ROUND(C75/12*$B$3,0)</f>
        <v>67</v>
      </c>
      <c r="E75" s="174">
        <v>63</v>
      </c>
      <c r="F75" s="377">
        <f t="shared" si="26"/>
        <v>94.029850746268664</v>
      </c>
      <c r="G75" s="639">
        <f>212051/1000</f>
        <v>212.05099999999999</v>
      </c>
      <c r="H75" s="638">
        <f t="shared" ref="H75:H76" si="30">ROUND(G75/12*$B$3,2)</f>
        <v>141.37</v>
      </c>
      <c r="I75" s="466">
        <v>129.58054999999999</v>
      </c>
      <c r="J75" s="466">
        <f t="shared" si="27"/>
        <v>91.660571549833762</v>
      </c>
    </row>
    <row r="76" spans="1:10" s="35" customFormat="1" ht="38.1" customHeight="1" thickBot="1" x14ac:dyDescent="0.3">
      <c r="A76" s="18">
        <v>1</v>
      </c>
      <c r="B76" s="658" t="s">
        <v>123</v>
      </c>
      <c r="C76" s="113">
        <v>6260</v>
      </c>
      <c r="D76" s="107">
        <f>ROUND(C76/12*$B$3,0)</f>
        <v>4173</v>
      </c>
      <c r="E76" s="113">
        <v>4198</v>
      </c>
      <c r="F76" s="118">
        <f t="shared" si="26"/>
        <v>100.59908938413611</v>
      </c>
      <c r="G76" s="465">
        <v>6092.3572000000004</v>
      </c>
      <c r="H76" s="638">
        <f t="shared" si="30"/>
        <v>4061.57</v>
      </c>
      <c r="I76" s="465">
        <v>4052.9087499999996</v>
      </c>
      <c r="J76" s="465">
        <f>I76/H76*100</f>
        <v>99.78675118242451</v>
      </c>
    </row>
    <row r="77" spans="1:10" s="35" customFormat="1" ht="20.25" customHeight="1" thickBot="1" x14ac:dyDescent="0.3">
      <c r="A77" s="18">
        <v>1</v>
      </c>
      <c r="B77" s="111" t="s">
        <v>3</v>
      </c>
      <c r="C77" s="426"/>
      <c r="D77" s="426"/>
      <c r="E77" s="426"/>
      <c r="F77" s="427"/>
      <c r="G77" s="460">
        <f>G71+G74+G76</f>
        <v>14405.357840000001</v>
      </c>
      <c r="H77" s="460">
        <f>H71+H74+H76</f>
        <v>9603.57</v>
      </c>
      <c r="I77" s="460">
        <f>I71+I74+I76</f>
        <v>10543.257860000002</v>
      </c>
      <c r="J77" s="471">
        <f t="shared" si="27"/>
        <v>109.78477649457443</v>
      </c>
    </row>
    <row r="78" spans="1:10" ht="15" customHeight="1" x14ac:dyDescent="0.25">
      <c r="A78" s="18">
        <v>1</v>
      </c>
      <c r="B78" s="78"/>
      <c r="C78" s="87"/>
      <c r="D78" s="87"/>
      <c r="E78" s="160"/>
      <c r="F78" s="87"/>
      <c r="G78" s="475"/>
      <c r="H78" s="475"/>
      <c r="I78" s="476"/>
      <c r="J78" s="475"/>
    </row>
    <row r="79" spans="1:10" ht="44.25" customHeight="1" x14ac:dyDescent="0.25">
      <c r="A79" s="18">
        <v>1</v>
      </c>
      <c r="B79" s="74" t="s">
        <v>92</v>
      </c>
      <c r="C79" s="158"/>
      <c r="D79" s="158"/>
      <c r="E79" s="158"/>
      <c r="F79" s="158"/>
      <c r="G79" s="456"/>
      <c r="H79" s="456"/>
      <c r="I79" s="456"/>
      <c r="J79" s="456"/>
    </row>
    <row r="80" spans="1:10" s="35" customFormat="1" ht="30" x14ac:dyDescent="0.25">
      <c r="A80" s="18">
        <v>1</v>
      </c>
      <c r="B80" s="198" t="s">
        <v>120</v>
      </c>
      <c r="C80" s="113">
        <f>SUM(C81:C82,C83)</f>
        <v>6344</v>
      </c>
      <c r="D80" s="113">
        <f>SUM(D81:D82,D83)</f>
        <v>4229</v>
      </c>
      <c r="E80" s="113">
        <f>SUM(E81:E82,E83)</f>
        <v>3016</v>
      </c>
      <c r="F80" s="113">
        <f>SUM(F81:F82,F83)</f>
        <v>164.07398844950185</v>
      </c>
      <c r="G80" s="596">
        <f>SUM(G81:G82,G83)</f>
        <v>8344.6247299999995</v>
      </c>
      <c r="H80" s="465">
        <f>SUM(H81:H82)</f>
        <v>5563.09</v>
      </c>
      <c r="I80" s="465">
        <f>SUM(I81:I82)</f>
        <v>3518.9920199999997</v>
      </c>
      <c r="J80" s="465">
        <f t="shared" ref="J80:J90" si="31">I80/H80*100</f>
        <v>63.256068479927521</v>
      </c>
    </row>
    <row r="81" spans="1:10" s="35" customFormat="1" ht="30" x14ac:dyDescent="0.25">
      <c r="A81" s="18">
        <v>1</v>
      </c>
      <c r="B81" s="71" t="s">
        <v>79</v>
      </c>
      <c r="C81" s="113">
        <v>4880</v>
      </c>
      <c r="D81" s="107">
        <f>ROUND(C81/12*$B$3,0)</f>
        <v>3253</v>
      </c>
      <c r="E81" s="113">
        <v>2021</v>
      </c>
      <c r="F81" s="118">
        <f t="shared" ref="F81:F89" si="32">E81/D81*100</f>
        <v>62.127267138026433</v>
      </c>
      <c r="G81" s="465">
        <v>5819.5129999999999</v>
      </c>
      <c r="H81" s="638">
        <f t="shared" ref="H81:H83" si="33">ROUND(G81/12*$B$3,2)</f>
        <v>3879.68</v>
      </c>
      <c r="I81" s="465">
        <v>1820.1521999999998</v>
      </c>
      <c r="J81" s="465">
        <f t="shared" si="31"/>
        <v>46.915008454305507</v>
      </c>
    </row>
    <row r="82" spans="1:10" s="35" customFormat="1" ht="30" x14ac:dyDescent="0.25">
      <c r="A82" s="18">
        <v>1</v>
      </c>
      <c r="B82" s="71" t="s">
        <v>80</v>
      </c>
      <c r="C82" s="113">
        <v>1464</v>
      </c>
      <c r="D82" s="107">
        <f>ROUND(C82/12*$B$3,0)</f>
        <v>976</v>
      </c>
      <c r="E82" s="113">
        <v>995</v>
      </c>
      <c r="F82" s="118">
        <f t="shared" si="32"/>
        <v>101.94672131147541</v>
      </c>
      <c r="G82" s="465">
        <v>2525.1117300000001</v>
      </c>
      <c r="H82" s="638">
        <f t="shared" si="33"/>
        <v>1683.41</v>
      </c>
      <c r="I82" s="465">
        <v>1698.8398199999999</v>
      </c>
      <c r="J82" s="465">
        <f t="shared" si="31"/>
        <v>100.9165812250135</v>
      </c>
    </row>
    <row r="83" spans="1:10" s="35" customFormat="1" ht="34.5" customHeight="1" x14ac:dyDescent="0.25">
      <c r="A83" s="18">
        <v>1</v>
      </c>
      <c r="B83" s="71" t="s">
        <v>122</v>
      </c>
      <c r="C83" s="113"/>
      <c r="D83" s="107"/>
      <c r="E83" s="113"/>
      <c r="F83" s="118"/>
      <c r="G83" s="465"/>
      <c r="H83" s="638">
        <f t="shared" si="33"/>
        <v>0</v>
      </c>
      <c r="I83" s="465"/>
      <c r="J83" s="465"/>
    </row>
    <row r="84" spans="1:10" s="35" customFormat="1" ht="30" x14ac:dyDescent="0.25">
      <c r="A84" s="18">
        <v>1</v>
      </c>
      <c r="B84" s="199" t="s">
        <v>112</v>
      </c>
      <c r="C84" s="113">
        <f>SUM(C85:C87)</f>
        <v>2229</v>
      </c>
      <c r="D84" s="113">
        <f>SUM(D85:D87)</f>
        <v>1486</v>
      </c>
      <c r="E84" s="113">
        <f>SUM(E85:E87)</f>
        <v>1401</v>
      </c>
      <c r="F84" s="118">
        <f t="shared" si="32"/>
        <v>94.279946164199188</v>
      </c>
      <c r="G84" s="458">
        <f>SUM(G85:G87)</f>
        <v>5716.3079300000009</v>
      </c>
      <c r="H84" s="458">
        <f>SUM(H85:H87)</f>
        <v>3810.8700000000003</v>
      </c>
      <c r="I84" s="458">
        <f>SUM(I85:I87)</f>
        <v>3014.8385300000004</v>
      </c>
      <c r="J84" s="465">
        <f t="shared" si="31"/>
        <v>79.111555366622326</v>
      </c>
    </row>
    <row r="85" spans="1:10" s="35" customFormat="1" ht="30" x14ac:dyDescent="0.25">
      <c r="A85" s="18">
        <v>1</v>
      </c>
      <c r="B85" s="71" t="s">
        <v>108</v>
      </c>
      <c r="C85" s="113">
        <v>362</v>
      </c>
      <c r="D85" s="107">
        <f t="shared" ref="D85:D89" si="34">ROUND(C85/12*$B$3,0)</f>
        <v>241</v>
      </c>
      <c r="E85" s="113">
        <v>371</v>
      </c>
      <c r="F85" s="118">
        <f t="shared" si="32"/>
        <v>153.94190871369295</v>
      </c>
      <c r="G85" s="638">
        <f>767624.62/1000</f>
        <v>767.62462000000005</v>
      </c>
      <c r="H85" s="638">
        <f t="shared" ref="H85:H89" si="35">ROUND(G85/12*$B$3,2)</f>
        <v>511.75</v>
      </c>
      <c r="I85" s="465">
        <v>736.57296999999994</v>
      </c>
      <c r="J85" s="465">
        <f t="shared" si="31"/>
        <v>143.93218759159745</v>
      </c>
    </row>
    <row r="86" spans="1:10" s="35" customFormat="1" ht="56.25" customHeight="1" x14ac:dyDescent="0.25">
      <c r="A86" s="18">
        <v>1</v>
      </c>
      <c r="B86" s="71" t="s">
        <v>119</v>
      </c>
      <c r="C86" s="113">
        <v>1759</v>
      </c>
      <c r="D86" s="107">
        <f t="shared" si="34"/>
        <v>1173</v>
      </c>
      <c r="E86" s="113">
        <v>620</v>
      </c>
      <c r="F86" s="118">
        <f t="shared" si="32"/>
        <v>52.855924978687128</v>
      </c>
      <c r="G86" s="638">
        <f>4842826.03/1000</f>
        <v>4842.8260300000002</v>
      </c>
      <c r="H86" s="638">
        <f t="shared" si="35"/>
        <v>3228.55</v>
      </c>
      <c r="I86" s="465">
        <v>1839.5591100000001</v>
      </c>
      <c r="J86" s="465">
        <f t="shared" si="31"/>
        <v>56.977872729243785</v>
      </c>
    </row>
    <row r="87" spans="1:10" s="35" customFormat="1" ht="48" customHeight="1" x14ac:dyDescent="0.25">
      <c r="A87" s="18">
        <v>1</v>
      </c>
      <c r="B87" s="71" t="s">
        <v>121</v>
      </c>
      <c r="C87" s="113">
        <v>108</v>
      </c>
      <c r="D87" s="107">
        <f t="shared" si="34"/>
        <v>72</v>
      </c>
      <c r="E87" s="113">
        <v>410</v>
      </c>
      <c r="F87" s="118">
        <f t="shared" si="32"/>
        <v>569.44444444444446</v>
      </c>
      <c r="G87" s="638">
        <f>105857.28/1000</f>
        <v>105.85728</v>
      </c>
      <c r="H87" s="638">
        <f t="shared" si="35"/>
        <v>70.569999999999993</v>
      </c>
      <c r="I87" s="465">
        <v>438.70645000000002</v>
      </c>
      <c r="J87" s="465">
        <f t="shared" si="31"/>
        <v>621.66140002834084</v>
      </c>
    </row>
    <row r="88" spans="1:10" s="35" customFormat="1" ht="30" x14ac:dyDescent="0.25">
      <c r="A88" s="18">
        <v>1</v>
      </c>
      <c r="B88" s="658" t="s">
        <v>123</v>
      </c>
      <c r="C88" s="113">
        <v>4300</v>
      </c>
      <c r="D88" s="107">
        <f t="shared" si="34"/>
        <v>2867</v>
      </c>
      <c r="E88" s="113">
        <f>1257+E89</f>
        <v>2042</v>
      </c>
      <c r="F88" s="118">
        <f t="shared" si="32"/>
        <v>71.224276246948023</v>
      </c>
      <c r="G88" s="465">
        <v>4184.8459999999995</v>
      </c>
      <c r="H88" s="638">
        <f t="shared" si="35"/>
        <v>2789.9</v>
      </c>
      <c r="I88" s="465">
        <f>1216.63391+I89</f>
        <v>1979.6383900000001</v>
      </c>
      <c r="J88" s="459">
        <f t="shared" si="31"/>
        <v>70.9573242768558</v>
      </c>
    </row>
    <row r="89" spans="1:10" s="35" customFormat="1" ht="30" x14ac:dyDescent="0.25">
      <c r="A89" s="18">
        <v>1</v>
      </c>
      <c r="B89" s="658" t="s">
        <v>125</v>
      </c>
      <c r="C89" s="113">
        <v>400</v>
      </c>
      <c r="D89" s="107">
        <f t="shared" si="34"/>
        <v>267</v>
      </c>
      <c r="E89" s="113">
        <v>785</v>
      </c>
      <c r="F89" s="118">
        <f t="shared" si="32"/>
        <v>294.00749063670412</v>
      </c>
      <c r="G89" s="465">
        <v>389.28799999999995</v>
      </c>
      <c r="H89" s="638">
        <f t="shared" si="35"/>
        <v>259.52999999999997</v>
      </c>
      <c r="I89" s="465">
        <v>763.00448000000006</v>
      </c>
      <c r="J89" s="459">
        <f t="shared" si="31"/>
        <v>293.99471352059498</v>
      </c>
    </row>
    <row r="90" spans="1:10" s="35" customFormat="1" ht="15" customHeight="1" x14ac:dyDescent="0.25">
      <c r="A90" s="18">
        <v>1</v>
      </c>
      <c r="B90" s="12" t="s">
        <v>3</v>
      </c>
      <c r="C90" s="115"/>
      <c r="D90" s="115"/>
      <c r="E90" s="115"/>
      <c r="F90" s="122"/>
      <c r="G90" s="469">
        <f>G80+G84+G88</f>
        <v>18245.77866</v>
      </c>
      <c r="H90" s="469">
        <f>H80+H84+H88</f>
        <v>12163.86</v>
      </c>
      <c r="I90" s="469">
        <f>I80+I84+I88</f>
        <v>8513.4689400000007</v>
      </c>
      <c r="J90" s="469">
        <f t="shared" si="31"/>
        <v>69.989862921802782</v>
      </c>
    </row>
    <row r="91" spans="1:10" s="35" customFormat="1" ht="15.75" customHeight="1" x14ac:dyDescent="0.25">
      <c r="A91" s="18">
        <v>1</v>
      </c>
      <c r="C91" s="76"/>
      <c r="D91" s="76"/>
      <c r="E91" s="146"/>
      <c r="F91" s="76"/>
      <c r="G91" s="477"/>
      <c r="H91" s="477"/>
      <c r="I91" s="478"/>
      <c r="J91" s="477"/>
    </row>
    <row r="92" spans="1:10" ht="29.25" customHeight="1" x14ac:dyDescent="0.25">
      <c r="A92" s="18">
        <v>1</v>
      </c>
      <c r="B92" s="74" t="s">
        <v>93</v>
      </c>
      <c r="C92" s="47"/>
      <c r="D92" s="47"/>
      <c r="E92" s="158"/>
      <c r="F92" s="47"/>
      <c r="G92" s="455"/>
      <c r="H92" s="455"/>
      <c r="I92" s="456"/>
      <c r="J92" s="455"/>
    </row>
    <row r="93" spans="1:10" s="35" customFormat="1" ht="30" x14ac:dyDescent="0.25">
      <c r="A93" s="18">
        <v>1</v>
      </c>
      <c r="B93" s="198" t="s">
        <v>120</v>
      </c>
      <c r="C93" s="113">
        <f>SUM(C94:C95)</f>
        <v>1898</v>
      </c>
      <c r="D93" s="113">
        <f>SUM(D94:D95)</f>
        <v>1265</v>
      </c>
      <c r="E93" s="113">
        <f>SUM(E94:E95)</f>
        <v>1487</v>
      </c>
      <c r="F93" s="118">
        <f t="shared" ref="F93:F98" si="36">E93/D93*100</f>
        <v>117.54940711462451</v>
      </c>
      <c r="G93" s="465">
        <f>SUM(G94:G95)</f>
        <v>2766.6201500000002</v>
      </c>
      <c r="H93" s="465">
        <f>SUM(H94:H95)</f>
        <v>1844.41</v>
      </c>
      <c r="I93" s="465">
        <f>SUM(I94:I95)</f>
        <v>2120.5952800000005</v>
      </c>
      <c r="J93" s="465">
        <f t="shared" ref="J93:J113" si="37">I93/H93*100</f>
        <v>114.97418036119953</v>
      </c>
    </row>
    <row r="94" spans="1:10" s="35" customFormat="1" ht="38.1" customHeight="1" x14ac:dyDescent="0.25">
      <c r="A94" s="18">
        <v>1</v>
      </c>
      <c r="B94" s="71" t="s">
        <v>79</v>
      </c>
      <c r="C94" s="113">
        <v>1460</v>
      </c>
      <c r="D94" s="107">
        <f>ROUND(C94/12*$B$3,0)</f>
        <v>973</v>
      </c>
      <c r="E94" s="113">
        <v>1143</v>
      </c>
      <c r="F94" s="118">
        <f t="shared" si="36"/>
        <v>117.47173689619731</v>
      </c>
      <c r="G94" s="465">
        <v>1935.2242000000001</v>
      </c>
      <c r="H94" s="638">
        <f t="shared" ref="H94:H95" si="38">ROUND(G94/12*$B$3,2)</f>
        <v>1290.1500000000001</v>
      </c>
      <c r="I94" s="465">
        <v>1469.9826900000003</v>
      </c>
      <c r="J94" s="465">
        <f t="shared" si="37"/>
        <v>113.93889780258111</v>
      </c>
    </row>
    <row r="95" spans="1:10" s="35" customFormat="1" ht="38.1" customHeight="1" x14ac:dyDescent="0.25">
      <c r="A95" s="18">
        <v>1</v>
      </c>
      <c r="B95" s="71" t="s">
        <v>80</v>
      </c>
      <c r="C95" s="113">
        <v>438</v>
      </c>
      <c r="D95" s="107">
        <f>ROUND(C95/12*$B$3,0)</f>
        <v>292</v>
      </c>
      <c r="E95" s="113">
        <v>344</v>
      </c>
      <c r="F95" s="118">
        <f t="shared" si="36"/>
        <v>117.8082191780822</v>
      </c>
      <c r="G95" s="465">
        <v>831.39594999999997</v>
      </c>
      <c r="H95" s="638">
        <f t="shared" si="38"/>
        <v>554.26</v>
      </c>
      <c r="I95" s="465">
        <v>650.61258999999995</v>
      </c>
      <c r="J95" s="465">
        <f t="shared" si="37"/>
        <v>117.38400570129541</v>
      </c>
    </row>
    <row r="96" spans="1:10" s="35" customFormat="1" ht="30" x14ac:dyDescent="0.25">
      <c r="A96" s="18">
        <v>1</v>
      </c>
      <c r="B96" s="199" t="s">
        <v>112</v>
      </c>
      <c r="C96" s="113">
        <f>SUM(C97)</f>
        <v>400</v>
      </c>
      <c r="D96" s="113">
        <f t="shared" ref="D96:I96" si="39">SUM(D97)</f>
        <v>267</v>
      </c>
      <c r="E96" s="113">
        <f t="shared" si="39"/>
        <v>323</v>
      </c>
      <c r="F96" s="118">
        <f t="shared" si="36"/>
        <v>120.97378277153558</v>
      </c>
      <c r="G96" s="458">
        <f t="shared" si="39"/>
        <v>848.20399999999995</v>
      </c>
      <c r="H96" s="458">
        <f t="shared" si="39"/>
        <v>565.47</v>
      </c>
      <c r="I96" s="458">
        <f t="shared" si="39"/>
        <v>652.25121000000013</v>
      </c>
      <c r="J96" s="465">
        <f t="shared" si="37"/>
        <v>115.34673988009976</v>
      </c>
    </row>
    <row r="97" spans="1:10" s="35" customFormat="1" ht="30" x14ac:dyDescent="0.25">
      <c r="A97" s="18">
        <v>1</v>
      </c>
      <c r="B97" s="321" t="s">
        <v>108</v>
      </c>
      <c r="C97" s="113">
        <v>400</v>
      </c>
      <c r="D97" s="107">
        <f>ROUND(C97/12*$B$3,0)</f>
        <v>267</v>
      </c>
      <c r="E97" s="113">
        <v>323</v>
      </c>
      <c r="F97" s="118">
        <f t="shared" si="36"/>
        <v>120.97378277153558</v>
      </c>
      <c r="G97" s="638">
        <f>848204/1000</f>
        <v>848.20399999999995</v>
      </c>
      <c r="H97" s="638">
        <f t="shared" ref="H97:H98" si="40">ROUND(G97/12*$B$3,2)</f>
        <v>565.47</v>
      </c>
      <c r="I97" s="465">
        <v>652.25121000000013</v>
      </c>
      <c r="J97" s="465">
        <f t="shared" si="37"/>
        <v>115.34673988009976</v>
      </c>
    </row>
    <row r="98" spans="1:10" s="35" customFormat="1" ht="30" x14ac:dyDescent="0.25">
      <c r="A98" s="18">
        <v>1</v>
      </c>
      <c r="B98" s="658" t="s">
        <v>123</v>
      </c>
      <c r="C98" s="113">
        <v>800</v>
      </c>
      <c r="D98" s="107">
        <f>ROUND(C98/12*$B$3,0)</f>
        <v>533</v>
      </c>
      <c r="E98" s="113">
        <v>72</v>
      </c>
      <c r="F98" s="118">
        <f t="shared" si="36"/>
        <v>13.50844277673546</v>
      </c>
      <c r="G98" s="465">
        <v>778.57600000000002</v>
      </c>
      <c r="H98" s="638">
        <f t="shared" si="40"/>
        <v>519.04999999999995</v>
      </c>
      <c r="I98" s="465">
        <v>69.262749999999997</v>
      </c>
      <c r="J98" s="459">
        <f t="shared" si="37"/>
        <v>13.344138329640689</v>
      </c>
    </row>
    <row r="99" spans="1:10" s="35" customFormat="1" ht="23.25" customHeight="1" thickBot="1" x14ac:dyDescent="0.3">
      <c r="A99" s="18">
        <v>1</v>
      </c>
      <c r="B99" s="12" t="s">
        <v>3</v>
      </c>
      <c r="C99" s="115"/>
      <c r="D99" s="115"/>
      <c r="E99" s="115"/>
      <c r="F99" s="122"/>
      <c r="G99" s="474">
        <f>G93+G96+G98</f>
        <v>4393.4001500000004</v>
      </c>
      <c r="H99" s="474">
        <f>H93+H96+H98</f>
        <v>2928.9300000000003</v>
      </c>
      <c r="I99" s="474">
        <f>I93+I96+I98</f>
        <v>2842.1092400000007</v>
      </c>
      <c r="J99" s="469">
        <f t="shared" si="37"/>
        <v>97.035751622606227</v>
      </c>
    </row>
    <row r="100" spans="1:10" ht="15" customHeight="1" x14ac:dyDescent="0.25">
      <c r="A100" s="18">
        <v>1</v>
      </c>
      <c r="B100" s="229" t="s">
        <v>91</v>
      </c>
      <c r="C100" s="230"/>
      <c r="D100" s="230"/>
      <c r="E100" s="230"/>
      <c r="F100" s="230"/>
      <c r="G100" s="479"/>
      <c r="H100" s="479"/>
      <c r="I100" s="479"/>
      <c r="J100" s="479"/>
    </row>
    <row r="101" spans="1:10" ht="30" x14ac:dyDescent="0.25">
      <c r="A101" s="18">
        <v>1</v>
      </c>
      <c r="B101" s="208" t="s">
        <v>120</v>
      </c>
      <c r="C101" s="231">
        <f>SUM(C10,C24,C38,C48,C59,C71,C80,C93)</f>
        <v>62921</v>
      </c>
      <c r="D101" s="231">
        <f>SUM(D10,D24,D38,D48,D59,D71,D80,D93)</f>
        <v>41948</v>
      </c>
      <c r="E101" s="231">
        <f>SUM(E10,E24,E38,E48,E59,E71,E80,E93)</f>
        <v>45432</v>
      </c>
      <c r="F101" s="231">
        <f t="shared" ref="F101:F112" si="41">E101/D101*100</f>
        <v>108.30552112138838</v>
      </c>
      <c r="G101" s="480">
        <f>SUM(G10,G24,G38,G48,G59,G71,G80,G93)</f>
        <v>102056.07931999999</v>
      </c>
      <c r="H101" s="480">
        <f>SUM(H10,H24,H38,H48,H59,H71,H80,H93)</f>
        <v>68037.400000000009</v>
      </c>
      <c r="I101" s="480">
        <f>SUM(I10,I24,I38,I48,I59,I71,I80,I93)</f>
        <v>75268.05025</v>
      </c>
      <c r="J101" s="480">
        <f t="shared" si="37"/>
        <v>110.6274640859292</v>
      </c>
    </row>
    <row r="102" spans="1:10" ht="30" x14ac:dyDescent="0.25">
      <c r="A102" s="18">
        <v>1</v>
      </c>
      <c r="B102" s="207" t="s">
        <v>79</v>
      </c>
      <c r="C102" s="231">
        <f t="shared" ref="C102:E103" si="42">SUM(C94,C81,C72,C49,C39,C25,C11)</f>
        <v>47780</v>
      </c>
      <c r="D102" s="231">
        <f t="shared" si="42"/>
        <v>31854</v>
      </c>
      <c r="E102" s="231">
        <f t="shared" si="42"/>
        <v>35291</v>
      </c>
      <c r="F102" s="231">
        <f t="shared" si="41"/>
        <v>110.78985370754066</v>
      </c>
      <c r="G102" s="480">
        <f t="shared" ref="G102:I103" si="43">SUM(G94,G81,G72,G49,G39,G25,G11)</f>
        <v>71031.041419999994</v>
      </c>
      <c r="H102" s="480">
        <f t="shared" si="43"/>
        <v>47354.04</v>
      </c>
      <c r="I102" s="480">
        <f t="shared" si="43"/>
        <v>52992.80187000001</v>
      </c>
      <c r="J102" s="480">
        <f t="shared" si="37"/>
        <v>111.90766800467291</v>
      </c>
    </row>
    <row r="103" spans="1:10" ht="30" x14ac:dyDescent="0.25">
      <c r="A103" s="18">
        <v>1</v>
      </c>
      <c r="B103" s="207" t="s">
        <v>80</v>
      </c>
      <c r="C103" s="231">
        <f t="shared" si="42"/>
        <v>14336</v>
      </c>
      <c r="D103" s="231">
        <f t="shared" si="42"/>
        <v>9557</v>
      </c>
      <c r="E103" s="231">
        <f t="shared" si="42"/>
        <v>9221</v>
      </c>
      <c r="F103" s="231">
        <f t="shared" si="41"/>
        <v>96.484252380454123</v>
      </c>
      <c r="G103" s="480">
        <f t="shared" si="43"/>
        <v>25742.563499999997</v>
      </c>
      <c r="H103" s="480">
        <f t="shared" si="43"/>
        <v>17161.71</v>
      </c>
      <c r="I103" s="480">
        <f t="shared" si="43"/>
        <v>16349.034690000004</v>
      </c>
      <c r="J103" s="480">
        <f t="shared" si="37"/>
        <v>95.264601779193356</v>
      </c>
    </row>
    <row r="104" spans="1:10" ht="45" x14ac:dyDescent="0.25">
      <c r="A104" s="18">
        <v>1</v>
      </c>
      <c r="B104" s="207" t="s">
        <v>114</v>
      </c>
      <c r="C104" s="231">
        <f t="shared" ref="C104:E105" si="44">SUM(C60,C27,C13)</f>
        <v>185</v>
      </c>
      <c r="D104" s="231">
        <f t="shared" si="44"/>
        <v>123</v>
      </c>
      <c r="E104" s="231">
        <f t="shared" si="44"/>
        <v>184</v>
      </c>
      <c r="F104" s="231">
        <f t="shared" si="41"/>
        <v>149.59349593495935</v>
      </c>
      <c r="G104" s="480">
        <f t="shared" ref="G104:I105" si="45">SUM(G60,G27,G13)</f>
        <v>1213.9848000000002</v>
      </c>
      <c r="H104" s="480">
        <f t="shared" si="45"/>
        <v>809.33</v>
      </c>
      <c r="I104" s="480">
        <f t="shared" si="45"/>
        <v>1192.3299299999999</v>
      </c>
      <c r="J104" s="480">
        <f t="shared" si="37"/>
        <v>147.32308576229718</v>
      </c>
    </row>
    <row r="105" spans="1:10" ht="30" x14ac:dyDescent="0.25">
      <c r="A105" s="18">
        <v>1</v>
      </c>
      <c r="B105" s="207" t="s">
        <v>115</v>
      </c>
      <c r="C105" s="231">
        <f t="shared" si="44"/>
        <v>620</v>
      </c>
      <c r="D105" s="231">
        <f t="shared" si="44"/>
        <v>414</v>
      </c>
      <c r="E105" s="231">
        <f t="shared" si="44"/>
        <v>736</v>
      </c>
      <c r="F105" s="231">
        <f t="shared" si="41"/>
        <v>177.77777777777777</v>
      </c>
      <c r="G105" s="480">
        <f t="shared" si="45"/>
        <v>4068.4896000000003</v>
      </c>
      <c r="H105" s="480">
        <f t="shared" si="45"/>
        <v>2712.32</v>
      </c>
      <c r="I105" s="480">
        <f t="shared" si="45"/>
        <v>4733.8837600000006</v>
      </c>
      <c r="J105" s="480">
        <f t="shared" si="37"/>
        <v>174.53264216611609</v>
      </c>
    </row>
    <row r="106" spans="1:10" ht="30" x14ac:dyDescent="0.25">
      <c r="A106" s="18">
        <v>1</v>
      </c>
      <c r="B106" s="208" t="s">
        <v>112</v>
      </c>
      <c r="C106" s="231">
        <f>SUM(C96,C84,C74,C62,C51,C41,C29,C15)</f>
        <v>82327</v>
      </c>
      <c r="D106" s="231">
        <f>SUM(D96,D84,D74,D62,D51,D41,D29,D15)</f>
        <v>54886</v>
      </c>
      <c r="E106" s="231">
        <f>SUM(E96,E84,E74,E62,E51,E41,E29,E15)</f>
        <v>53382</v>
      </c>
      <c r="F106" s="231">
        <f t="shared" si="41"/>
        <v>97.259774805961456</v>
      </c>
      <c r="G106" s="480">
        <f>SUM(G96,G84,G74,G62,G51,G41,G29,G15)</f>
        <v>173135.19366999998</v>
      </c>
      <c r="H106" s="480">
        <f>SUM(H96,H84,H74,H62,H51,H41,H29,H15)</f>
        <v>115423.45999999999</v>
      </c>
      <c r="I106" s="480">
        <f>SUM(I96,I84,I74,I62,I51,I41,I29,I15)</f>
        <v>111984.81287999998</v>
      </c>
      <c r="J106" s="480">
        <f t="shared" si="37"/>
        <v>97.020842106102165</v>
      </c>
    </row>
    <row r="107" spans="1:10" ht="30" x14ac:dyDescent="0.25">
      <c r="A107" s="18">
        <v>1</v>
      </c>
      <c r="B107" s="207" t="s">
        <v>108</v>
      </c>
      <c r="C107" s="231">
        <f>SUM(C97,C85,C75,C52,C42,C30,C16)</f>
        <v>11370</v>
      </c>
      <c r="D107" s="231">
        <f>SUM(D97,D85,D75,D52,D42,D30,D16)</f>
        <v>7580</v>
      </c>
      <c r="E107" s="231">
        <f>SUM(E97,E85,E75,E52,E42,E30,E16)</f>
        <v>8096</v>
      </c>
      <c r="F107" s="231">
        <f t="shared" si="41"/>
        <v>106.80738786279684</v>
      </c>
      <c r="G107" s="480">
        <f>SUM(G97,G85,G75,G52,G42,G30,G16)</f>
        <v>24110.198700000004</v>
      </c>
      <c r="H107" s="480">
        <f>SUM(H97,H85,H75,H52,H42,H30,H16)</f>
        <v>16073.47</v>
      </c>
      <c r="I107" s="480">
        <f>SUM(I97,I85,I75,I52,I42,I30,I16)</f>
        <v>17058.110129999997</v>
      </c>
      <c r="J107" s="480">
        <f t="shared" si="37"/>
        <v>106.12587157595715</v>
      </c>
    </row>
    <row r="108" spans="1:10" ht="60" x14ac:dyDescent="0.25">
      <c r="A108" s="18">
        <v>1</v>
      </c>
      <c r="B108" s="207" t="s">
        <v>81</v>
      </c>
      <c r="C108" s="231">
        <f t="shared" ref="C108:E109" si="46">SUM(C86,C63,C31,C17)</f>
        <v>46885</v>
      </c>
      <c r="D108" s="231">
        <f t="shared" si="46"/>
        <v>31258</v>
      </c>
      <c r="E108" s="231">
        <f t="shared" si="46"/>
        <v>30366</v>
      </c>
      <c r="F108" s="231">
        <f t="shared" si="41"/>
        <v>97.146330539381921</v>
      </c>
      <c r="G108" s="480">
        <f t="shared" ref="G108:I109" si="47">SUM(G86,G63,G31,G17)</f>
        <v>125430.58345000001</v>
      </c>
      <c r="H108" s="480">
        <f t="shared" si="47"/>
        <v>83620.39</v>
      </c>
      <c r="I108" s="480">
        <f t="shared" si="47"/>
        <v>78652.276370000007</v>
      </c>
      <c r="J108" s="480">
        <f t="shared" si="37"/>
        <v>94.058729419941727</v>
      </c>
    </row>
    <row r="109" spans="1:10" ht="45" x14ac:dyDescent="0.25">
      <c r="A109" s="18">
        <v>1</v>
      </c>
      <c r="B109" s="207" t="s">
        <v>109</v>
      </c>
      <c r="C109" s="231">
        <f t="shared" si="46"/>
        <v>24072</v>
      </c>
      <c r="D109" s="231">
        <f t="shared" si="46"/>
        <v>16048</v>
      </c>
      <c r="E109" s="231">
        <f t="shared" si="46"/>
        <v>14920</v>
      </c>
      <c r="F109" s="231">
        <f t="shared" si="41"/>
        <v>92.97108673978066</v>
      </c>
      <c r="G109" s="231">
        <f t="shared" si="47"/>
        <v>23594.411520000001</v>
      </c>
      <c r="H109" s="231">
        <f t="shared" si="47"/>
        <v>15729.599999999999</v>
      </c>
      <c r="I109" s="594">
        <f t="shared" si="47"/>
        <v>16274.426380000001</v>
      </c>
      <c r="J109" s="480">
        <f t="shared" si="37"/>
        <v>103.46370142915269</v>
      </c>
    </row>
    <row r="110" spans="1:10" ht="30" x14ac:dyDescent="0.25">
      <c r="A110" s="18">
        <v>1</v>
      </c>
      <c r="B110" s="668" t="s">
        <v>123</v>
      </c>
      <c r="C110" s="674">
        <f>SUM(C98,C88,C76,C65,C53,C43,C33,C19)</f>
        <v>125831</v>
      </c>
      <c r="D110" s="674">
        <f>SUM(D98,D88,D76,D65,D53,D43,D33,D19)</f>
        <v>83886</v>
      </c>
      <c r="E110" s="674">
        <f>SUM(E98,E88,E76,E65,E53,E43,E33,E19)</f>
        <v>80399</v>
      </c>
      <c r="F110" s="231">
        <f t="shared" si="41"/>
        <v>95.843168109100446</v>
      </c>
      <c r="G110" s="674">
        <f>SUM(G98,G88,G76,G65,G53,G43,G33,G19)</f>
        <v>121713.81286000001</v>
      </c>
      <c r="H110" s="674">
        <f>SUM(H98,H88,H76,H65,H53,H43,H33,H19)</f>
        <v>81142.539999999994</v>
      </c>
      <c r="I110" s="674">
        <f>SUM(I98,I88,I76,I65,I53,I43,I33,I19)</f>
        <v>77671.537920000002</v>
      </c>
      <c r="J110" s="480">
        <f t="shared" si="37"/>
        <v>95.722339872525566</v>
      </c>
    </row>
    <row r="111" spans="1:10" ht="30" x14ac:dyDescent="0.25">
      <c r="A111" s="18">
        <v>1</v>
      </c>
      <c r="B111" s="668" t="s">
        <v>124</v>
      </c>
      <c r="C111" s="674">
        <f>SUM(C66,C54)</f>
        <v>20100</v>
      </c>
      <c r="D111" s="674">
        <f>SUM(D66,D54)</f>
        <v>13400</v>
      </c>
      <c r="E111" s="674">
        <f>SUM(E66,E54)</f>
        <v>15876</v>
      </c>
      <c r="F111" s="231">
        <f t="shared" si="41"/>
        <v>118.47761194029852</v>
      </c>
      <c r="G111" s="674">
        <f>SUM(G66,G54)</f>
        <v>19561.721999999998</v>
      </c>
      <c r="H111" s="674">
        <f>SUM(H66,H54)</f>
        <v>13041.150000000001</v>
      </c>
      <c r="I111" s="674">
        <f>SUM(I66,I54)</f>
        <v>15264.70297</v>
      </c>
      <c r="J111" s="480"/>
    </row>
    <row r="112" spans="1:10" x14ac:dyDescent="0.25">
      <c r="A112" s="18">
        <v>1</v>
      </c>
      <c r="B112" s="668" t="s">
        <v>125</v>
      </c>
      <c r="C112" s="674">
        <f t="shared" ref="C112:D112" si="48">SUM(C89,C55,C44,C34,C20,C67)</f>
        <v>13611</v>
      </c>
      <c r="D112" s="674">
        <f t="shared" si="48"/>
        <v>9073</v>
      </c>
      <c r="E112" s="674">
        <f>SUM(E89,E55,E44,E34,E20,E67)</f>
        <v>15704</v>
      </c>
      <c r="F112" s="231">
        <f t="shared" si="41"/>
        <v>173.08497740548881</v>
      </c>
      <c r="G112" s="674">
        <f t="shared" ref="G112:I112" si="49">SUM(G89,G55,G44,G34,G20,G67)</f>
        <v>13246.49742</v>
      </c>
      <c r="H112" s="674">
        <f t="shared" si="49"/>
        <v>8831</v>
      </c>
      <c r="I112" s="674">
        <f t="shared" si="49"/>
        <v>15241.999690000001</v>
      </c>
      <c r="J112" s="480">
        <f t="shared" si="37"/>
        <v>172.59653142339485</v>
      </c>
    </row>
    <row r="113" spans="1:10" ht="15.75" thickBot="1" x14ac:dyDescent="0.3">
      <c r="A113" s="18">
        <v>1</v>
      </c>
      <c r="B113" s="523" t="s">
        <v>117</v>
      </c>
      <c r="C113" s="524">
        <f>SUM(C99,C90,C77,C68,C56,C45,C35,C21)</f>
        <v>0</v>
      </c>
      <c r="D113" s="524">
        <f>SUM(D99,D90,D77,D68,D56,D45,D35,D21)</f>
        <v>0</v>
      </c>
      <c r="E113" s="524">
        <f>SUM(E99,E90,E77,E68,E56,E45,E35,E21)</f>
        <v>0</v>
      </c>
      <c r="F113" s="524"/>
      <c r="G113" s="525">
        <f>SUM(G99,G90,G77,G68,G56,G45,G35,G21)</f>
        <v>396905.08584999997</v>
      </c>
      <c r="H113" s="525">
        <f>SUM(H99,H90,H77,H68,H56,H45,H35,H21)</f>
        <v>264603.39999999997</v>
      </c>
      <c r="I113" s="525">
        <f>SUM(I99,I90,I77,I68,I56,I45,I35,I21)</f>
        <v>264924.40104999999</v>
      </c>
      <c r="J113" s="525">
        <f t="shared" si="37"/>
        <v>100.1213140307343</v>
      </c>
    </row>
    <row r="114" spans="1:10" ht="15" customHeight="1" x14ac:dyDescent="0.25">
      <c r="A114" s="18">
        <v>1</v>
      </c>
      <c r="B114" s="7"/>
      <c r="C114" s="1"/>
      <c r="D114" s="1"/>
      <c r="E114" s="137"/>
      <c r="F114" s="1"/>
      <c r="G114" s="481"/>
      <c r="H114" s="481"/>
      <c r="I114" s="482"/>
      <c r="J114" s="481"/>
    </row>
    <row r="115" spans="1:10" ht="14.25" customHeight="1" thickBot="1" x14ac:dyDescent="0.3">
      <c r="A115" s="18">
        <v>1</v>
      </c>
      <c r="B115" s="92" t="s">
        <v>13</v>
      </c>
      <c r="C115" s="14"/>
      <c r="D115" s="14"/>
      <c r="E115" s="124"/>
      <c r="F115" s="14"/>
      <c r="G115" s="483"/>
      <c r="H115" s="483"/>
      <c r="I115" s="457"/>
      <c r="J115" s="483"/>
    </row>
    <row r="116" spans="1:10" ht="29.25" x14ac:dyDescent="0.25">
      <c r="A116" s="18">
        <v>1</v>
      </c>
      <c r="B116" s="126" t="s">
        <v>54</v>
      </c>
      <c r="C116" s="161"/>
      <c r="D116" s="161"/>
      <c r="E116" s="161"/>
      <c r="F116" s="161"/>
      <c r="G116" s="470"/>
      <c r="H116" s="470"/>
      <c r="I116" s="470"/>
      <c r="J116" s="465"/>
    </row>
    <row r="117" spans="1:10" s="35" customFormat="1" ht="30" x14ac:dyDescent="0.25">
      <c r="A117" s="18">
        <v>1</v>
      </c>
      <c r="B117" s="227" t="s">
        <v>120</v>
      </c>
      <c r="C117" s="113">
        <f>SUM(C118:C121)</f>
        <v>9871</v>
      </c>
      <c r="D117" s="113">
        <f>SUM(D118:D121)</f>
        <v>6580</v>
      </c>
      <c r="E117" s="113">
        <f>SUM(E118:E121)</f>
        <v>6367</v>
      </c>
      <c r="F117" s="113">
        <f t="shared" ref="F117:F125" si="50">E117/D117*100</f>
        <v>96.762917933130694</v>
      </c>
      <c r="G117" s="465">
        <f>SUM(G118:G121)</f>
        <v>16458.894070000002</v>
      </c>
      <c r="H117" s="465">
        <f>SUM(H118:H121)</f>
        <v>10972.59</v>
      </c>
      <c r="I117" s="465">
        <f>SUM(I118:I121)</f>
        <v>10935.5708</v>
      </c>
      <c r="J117" s="531">
        <f t="shared" ref="J117:J129" si="51">I117/H117*100</f>
        <v>99.662621131382835</v>
      </c>
    </row>
    <row r="118" spans="1:10" s="35" customFormat="1" ht="30" x14ac:dyDescent="0.25">
      <c r="A118" s="18">
        <v>1</v>
      </c>
      <c r="B118" s="71" t="s">
        <v>79</v>
      </c>
      <c r="C118" s="113">
        <v>7286</v>
      </c>
      <c r="D118" s="107">
        <f t="shared" ref="D118:D128" si="52">ROUND(C118/12*$B$3,0)</f>
        <v>4857</v>
      </c>
      <c r="E118" s="113">
        <v>5249</v>
      </c>
      <c r="F118" s="113">
        <f t="shared" si="50"/>
        <v>108.07082561251802</v>
      </c>
      <c r="G118" s="465">
        <v>9954.481600000001</v>
      </c>
      <c r="H118" s="638">
        <f t="shared" ref="H118:H121" si="53">ROUND(G118/12*$B$3,2)</f>
        <v>6636.32</v>
      </c>
      <c r="I118" s="465">
        <v>7326.768869999999</v>
      </c>
      <c r="J118" s="531">
        <f t="shared" si="51"/>
        <v>110.40409247896423</v>
      </c>
    </row>
    <row r="119" spans="1:10" s="35" customFormat="1" ht="30" x14ac:dyDescent="0.25">
      <c r="A119" s="18">
        <v>1</v>
      </c>
      <c r="B119" s="71" t="s">
        <v>80</v>
      </c>
      <c r="C119" s="113">
        <v>2186</v>
      </c>
      <c r="D119" s="107">
        <f t="shared" si="52"/>
        <v>1457</v>
      </c>
      <c r="E119" s="113">
        <v>760</v>
      </c>
      <c r="F119" s="113">
        <f t="shared" si="50"/>
        <v>52.161976664378862</v>
      </c>
      <c r="G119" s="465">
        <v>3886.14255</v>
      </c>
      <c r="H119" s="638">
        <f t="shared" si="53"/>
        <v>2590.7600000000002</v>
      </c>
      <c r="I119" s="465">
        <v>1318.6360099999999</v>
      </c>
      <c r="J119" s="531">
        <f t="shared" si="51"/>
        <v>50.897652040327927</v>
      </c>
    </row>
    <row r="120" spans="1:10" s="35" customFormat="1" ht="45" x14ac:dyDescent="0.25">
      <c r="A120" s="18">
        <v>1</v>
      </c>
      <c r="B120" s="71" t="s">
        <v>114</v>
      </c>
      <c r="C120" s="113">
        <v>49</v>
      </c>
      <c r="D120" s="107">
        <f t="shared" si="52"/>
        <v>33</v>
      </c>
      <c r="E120" s="113">
        <v>43</v>
      </c>
      <c r="F120" s="113">
        <f t="shared" si="50"/>
        <v>130.30303030303031</v>
      </c>
      <c r="G120" s="465">
        <v>321.54192</v>
      </c>
      <c r="H120" s="638">
        <f t="shared" si="53"/>
        <v>214.36</v>
      </c>
      <c r="I120" s="465">
        <v>255.92112</v>
      </c>
      <c r="J120" s="531">
        <f t="shared" si="51"/>
        <v>119.38846799776077</v>
      </c>
    </row>
    <row r="121" spans="1:10" s="35" customFormat="1" ht="30" x14ac:dyDescent="0.25">
      <c r="A121" s="18">
        <v>1</v>
      </c>
      <c r="B121" s="71" t="s">
        <v>115</v>
      </c>
      <c r="C121" s="113">
        <v>350</v>
      </c>
      <c r="D121" s="107">
        <f t="shared" si="52"/>
        <v>233</v>
      </c>
      <c r="E121" s="113">
        <v>315</v>
      </c>
      <c r="F121" s="113">
        <f t="shared" si="50"/>
        <v>135.1931330472103</v>
      </c>
      <c r="G121" s="465">
        <v>2296.7280000000001</v>
      </c>
      <c r="H121" s="638">
        <f t="shared" si="53"/>
        <v>1531.15</v>
      </c>
      <c r="I121" s="465">
        <v>2034.2447999999999</v>
      </c>
      <c r="J121" s="531">
        <f t="shared" si="51"/>
        <v>132.85731639617279</v>
      </c>
    </row>
    <row r="122" spans="1:10" s="35" customFormat="1" ht="30" x14ac:dyDescent="0.25">
      <c r="A122" s="18">
        <v>1</v>
      </c>
      <c r="B122" s="227" t="s">
        <v>112</v>
      </c>
      <c r="C122" s="113">
        <f>SUM(C123:C125)</f>
        <v>16426</v>
      </c>
      <c r="D122" s="113">
        <f>SUM(D123:D125)</f>
        <v>10951</v>
      </c>
      <c r="E122" s="113">
        <f>SUM(E123:E125)</f>
        <v>10756</v>
      </c>
      <c r="F122" s="113">
        <f t="shared" si="50"/>
        <v>98.219340699479503</v>
      </c>
      <c r="G122" s="458">
        <f>SUM(G123:G125)</f>
        <v>36959.141160000006</v>
      </c>
      <c r="H122" s="458">
        <f>SUM(H123:H125)</f>
        <v>24639.420000000002</v>
      </c>
      <c r="I122" s="458">
        <f>SUM(I123:I125)</f>
        <v>22686.508049999997</v>
      </c>
      <c r="J122" s="531">
        <f t="shared" si="51"/>
        <v>92.074034413147686</v>
      </c>
    </row>
    <row r="123" spans="1:10" s="35" customFormat="1" ht="30" x14ac:dyDescent="0.25">
      <c r="A123" s="18">
        <v>1</v>
      </c>
      <c r="B123" s="71" t="s">
        <v>108</v>
      </c>
      <c r="C123" s="113">
        <v>1500</v>
      </c>
      <c r="D123" s="107">
        <f t="shared" si="52"/>
        <v>1000</v>
      </c>
      <c r="E123" s="113">
        <v>561</v>
      </c>
      <c r="F123" s="113">
        <f t="shared" si="50"/>
        <v>56.100000000000009</v>
      </c>
      <c r="G123" s="465">
        <f>3180765/1000</f>
        <v>3180.7649999999999</v>
      </c>
      <c r="H123" s="638">
        <f t="shared" ref="H123:H128" si="54">ROUND(G123/12*$B$3,2)</f>
        <v>2120.5100000000002</v>
      </c>
      <c r="I123" s="465">
        <v>1187.2709100000002</v>
      </c>
      <c r="J123" s="531">
        <f t="shared" si="51"/>
        <v>55.989875548806658</v>
      </c>
    </row>
    <row r="124" spans="1:10" s="35" customFormat="1" ht="60" x14ac:dyDescent="0.25">
      <c r="A124" s="18">
        <v>1</v>
      </c>
      <c r="B124" s="71" t="s">
        <v>119</v>
      </c>
      <c r="C124" s="113">
        <v>10800</v>
      </c>
      <c r="D124" s="107">
        <f t="shared" si="52"/>
        <v>7200</v>
      </c>
      <c r="E124" s="113">
        <v>6927</v>
      </c>
      <c r="F124" s="113">
        <f t="shared" si="50"/>
        <v>96.208333333333329</v>
      </c>
      <c r="G124" s="465">
        <f>29734236/1000</f>
        <v>29734.236000000001</v>
      </c>
      <c r="H124" s="638">
        <f t="shared" si="54"/>
        <v>19822.82</v>
      </c>
      <c r="I124" s="465">
        <v>17987.798859999999</v>
      </c>
      <c r="J124" s="531">
        <f t="shared" si="51"/>
        <v>90.74288552284689</v>
      </c>
    </row>
    <row r="125" spans="1:10" s="35" customFormat="1" ht="45" x14ac:dyDescent="0.25">
      <c r="A125" s="18">
        <v>1</v>
      </c>
      <c r="B125" s="71" t="s">
        <v>109</v>
      </c>
      <c r="C125" s="113">
        <v>4126</v>
      </c>
      <c r="D125" s="107">
        <f t="shared" si="52"/>
        <v>2751</v>
      </c>
      <c r="E125" s="113">
        <v>3268</v>
      </c>
      <c r="F125" s="113">
        <f t="shared" si="50"/>
        <v>118.79316612141039</v>
      </c>
      <c r="G125" s="465">
        <f>4044140.16/1000</f>
        <v>4044.1401599999999</v>
      </c>
      <c r="H125" s="638">
        <f t="shared" si="54"/>
        <v>2696.09</v>
      </c>
      <c r="I125" s="465">
        <v>3511.4382799999998</v>
      </c>
      <c r="J125" s="531">
        <f t="shared" si="51"/>
        <v>130.24187916575485</v>
      </c>
    </row>
    <row r="126" spans="1:10" s="35" customFormat="1" ht="30" x14ac:dyDescent="0.25">
      <c r="A126" s="18">
        <v>1</v>
      </c>
      <c r="B126" s="116" t="s">
        <v>123</v>
      </c>
      <c r="C126" s="113">
        <v>43595</v>
      </c>
      <c r="D126" s="107">
        <f t="shared" si="52"/>
        <v>29063</v>
      </c>
      <c r="E126" s="113">
        <f>25787+E127+E128</f>
        <v>28737</v>
      </c>
      <c r="F126" s="118">
        <f>E126/D126*100</f>
        <v>98.878298867976469</v>
      </c>
      <c r="G126" s="465">
        <v>37074.815900000001</v>
      </c>
      <c r="H126" s="638">
        <f t="shared" si="54"/>
        <v>24716.54</v>
      </c>
      <c r="I126" s="465">
        <f>25062.19352+I127+I128</f>
        <v>27930.13927</v>
      </c>
      <c r="J126" s="459">
        <f>I126/H126*100</f>
        <v>113.00181688051806</v>
      </c>
    </row>
    <row r="127" spans="1:10" s="35" customFormat="1" ht="30" x14ac:dyDescent="0.25">
      <c r="A127" s="18">
        <v>1</v>
      </c>
      <c r="B127" s="116" t="s">
        <v>124</v>
      </c>
      <c r="C127" s="113">
        <v>2640</v>
      </c>
      <c r="D127" s="107">
        <f t="shared" si="52"/>
        <v>1760</v>
      </c>
      <c r="E127" s="113">
        <v>1733</v>
      </c>
      <c r="F127" s="118">
        <f>E127/D127*100</f>
        <v>98.465909090909093</v>
      </c>
      <c r="G127" s="465">
        <v>2569.3008000000004</v>
      </c>
      <c r="H127" s="638">
        <f t="shared" si="54"/>
        <v>1712.87</v>
      </c>
      <c r="I127" s="465">
        <v>1684.4186900000002</v>
      </c>
      <c r="J127" s="459">
        <f t="shared" ref="J127:J128" si="55">I127/H127*100</f>
        <v>98.338968514831848</v>
      </c>
    </row>
    <row r="128" spans="1:10" s="35" customFormat="1" ht="15.75" thickBot="1" x14ac:dyDescent="0.3">
      <c r="A128" s="18">
        <v>1</v>
      </c>
      <c r="B128" s="116" t="s">
        <v>125</v>
      </c>
      <c r="C128" s="113">
        <v>3143</v>
      </c>
      <c r="D128" s="107">
        <f t="shared" si="52"/>
        <v>2095</v>
      </c>
      <c r="E128" s="113">
        <v>1217</v>
      </c>
      <c r="F128" s="118">
        <f>E128/D128*100</f>
        <v>58.090692124105011</v>
      </c>
      <c r="G128" s="465">
        <v>3058.8304600000001</v>
      </c>
      <c r="H128" s="638">
        <f t="shared" si="54"/>
        <v>2039.22</v>
      </c>
      <c r="I128" s="465">
        <v>1183.5270600000003</v>
      </c>
      <c r="J128" s="459">
        <f t="shared" si="55"/>
        <v>58.038223438373514</v>
      </c>
    </row>
    <row r="129" spans="1:247" s="13" customFormat="1" ht="15.75" thickBot="1" x14ac:dyDescent="0.3">
      <c r="A129" s="18">
        <v>1</v>
      </c>
      <c r="B129" s="526" t="s">
        <v>3</v>
      </c>
      <c r="C129" s="339"/>
      <c r="D129" s="339"/>
      <c r="E129" s="339"/>
      <c r="F129" s="338"/>
      <c r="G129" s="527">
        <f>G122+G117+G126</f>
        <v>90492.85113000001</v>
      </c>
      <c r="H129" s="527">
        <f>H122+H117+H126</f>
        <v>60328.55</v>
      </c>
      <c r="I129" s="527">
        <f>I122+I117+I126</f>
        <v>61552.218119999998</v>
      </c>
      <c r="J129" s="471">
        <f t="shared" si="51"/>
        <v>102.02834001480228</v>
      </c>
    </row>
    <row r="130" spans="1:247" ht="15" customHeight="1" x14ac:dyDescent="0.25">
      <c r="A130" s="18">
        <v>1</v>
      </c>
      <c r="B130" s="232" t="s">
        <v>94</v>
      </c>
      <c r="C130" s="233"/>
      <c r="D130" s="233"/>
      <c r="E130" s="233"/>
      <c r="F130" s="233"/>
      <c r="G130" s="485"/>
      <c r="H130" s="485"/>
      <c r="I130" s="485"/>
      <c r="J130" s="485"/>
    </row>
    <row r="131" spans="1:247" s="10" customFormat="1" ht="43.5" customHeight="1" x14ac:dyDescent="0.25">
      <c r="A131" s="18">
        <v>1</v>
      </c>
      <c r="B131" s="234" t="s">
        <v>120</v>
      </c>
      <c r="C131" s="235">
        <f t="shared" ref="C131:E139" si="56">C117</f>
        <v>9871</v>
      </c>
      <c r="D131" s="235">
        <f t="shared" si="56"/>
        <v>6580</v>
      </c>
      <c r="E131" s="235">
        <f t="shared" si="56"/>
        <v>6367</v>
      </c>
      <c r="F131" s="322">
        <f>E131/D131*100</f>
        <v>96.762917933130694</v>
      </c>
      <c r="G131" s="486">
        <f t="shared" ref="G131:J139" si="57">G117</f>
        <v>16458.894070000002</v>
      </c>
      <c r="H131" s="486">
        <f t="shared" si="57"/>
        <v>10972.59</v>
      </c>
      <c r="I131" s="486">
        <f t="shared" si="57"/>
        <v>10935.5708</v>
      </c>
      <c r="J131" s="486">
        <f t="shared" si="57"/>
        <v>99.662621131382835</v>
      </c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  <c r="DW131" s="13"/>
      <c r="DX131" s="13"/>
      <c r="DY131" s="13"/>
      <c r="DZ131" s="13"/>
      <c r="EA131" s="13"/>
      <c r="EB131" s="13"/>
      <c r="EC131" s="13"/>
      <c r="ED131" s="13"/>
      <c r="EE131" s="13"/>
      <c r="EF131" s="13"/>
      <c r="EG131" s="13"/>
      <c r="EH131" s="13"/>
      <c r="EI131" s="13"/>
      <c r="EJ131" s="13"/>
      <c r="EK131" s="13"/>
      <c r="EL131" s="13"/>
      <c r="EM131" s="13"/>
      <c r="EN131" s="13"/>
      <c r="EO131" s="13"/>
      <c r="EP131" s="13"/>
      <c r="EQ131" s="13"/>
      <c r="ER131" s="13"/>
      <c r="ES131" s="13"/>
      <c r="ET131" s="13"/>
      <c r="EU131" s="13"/>
      <c r="EV131" s="13"/>
      <c r="EW131" s="13"/>
      <c r="EX131" s="13"/>
      <c r="EY131" s="13"/>
      <c r="EZ131" s="13"/>
      <c r="FA131" s="13"/>
      <c r="FB131" s="13"/>
      <c r="FC131" s="13"/>
      <c r="FD131" s="13"/>
      <c r="FE131" s="13"/>
      <c r="FF131" s="13"/>
      <c r="FG131" s="13"/>
      <c r="FH131" s="13"/>
      <c r="FI131" s="13"/>
      <c r="FJ131" s="13"/>
      <c r="FK131" s="13"/>
      <c r="FL131" s="13"/>
      <c r="FM131" s="13"/>
      <c r="FN131" s="13"/>
      <c r="FO131" s="13"/>
      <c r="FP131" s="13"/>
      <c r="FQ131" s="13"/>
      <c r="FR131" s="13"/>
      <c r="FS131" s="13"/>
      <c r="FT131" s="13"/>
      <c r="FU131" s="13"/>
      <c r="FV131" s="13"/>
      <c r="FW131" s="13"/>
      <c r="FX131" s="13"/>
      <c r="FY131" s="13"/>
      <c r="FZ131" s="13"/>
      <c r="GA131" s="13"/>
      <c r="GB131" s="13"/>
      <c r="GC131" s="13"/>
      <c r="GD131" s="13"/>
      <c r="GE131" s="13"/>
      <c r="GF131" s="13"/>
      <c r="GG131" s="13"/>
      <c r="GH131" s="13"/>
      <c r="GI131" s="13"/>
      <c r="GJ131" s="13"/>
      <c r="GK131" s="13"/>
      <c r="GL131" s="13"/>
      <c r="GM131" s="13"/>
      <c r="GN131" s="13"/>
      <c r="GO131" s="13"/>
      <c r="GP131" s="13"/>
      <c r="GQ131" s="13"/>
      <c r="GR131" s="13"/>
      <c r="GS131" s="13"/>
      <c r="GT131" s="13"/>
      <c r="GU131" s="13"/>
      <c r="GV131" s="13"/>
      <c r="GW131" s="13"/>
      <c r="GX131" s="13"/>
      <c r="GY131" s="13"/>
      <c r="GZ131" s="13"/>
      <c r="HA131" s="13"/>
      <c r="HB131" s="13"/>
      <c r="HC131" s="13"/>
      <c r="HD131" s="13"/>
      <c r="HE131" s="13"/>
      <c r="HF131" s="13"/>
      <c r="HG131" s="13"/>
      <c r="HH131" s="13"/>
      <c r="HI131" s="13"/>
      <c r="HJ131" s="13"/>
      <c r="HK131" s="13"/>
      <c r="HL131" s="13"/>
      <c r="HM131" s="13"/>
      <c r="HN131" s="13"/>
      <c r="HO131" s="13"/>
      <c r="HP131" s="13"/>
      <c r="HQ131" s="13"/>
      <c r="HR131" s="13"/>
      <c r="HS131" s="13"/>
      <c r="HT131" s="13"/>
      <c r="HU131" s="13"/>
      <c r="HV131" s="13"/>
      <c r="HW131" s="13"/>
      <c r="HX131" s="13"/>
      <c r="HY131" s="13"/>
      <c r="HZ131" s="13"/>
      <c r="IA131" s="13"/>
      <c r="IB131" s="13"/>
      <c r="IC131" s="13"/>
      <c r="ID131" s="13"/>
      <c r="IE131" s="13"/>
      <c r="IF131" s="13"/>
      <c r="IG131" s="13"/>
      <c r="IH131" s="13"/>
      <c r="II131" s="13"/>
      <c r="IJ131" s="13"/>
      <c r="IK131" s="13"/>
      <c r="IL131" s="13"/>
      <c r="IM131" s="13"/>
    </row>
    <row r="132" spans="1:247" s="10" customFormat="1" ht="30" x14ac:dyDescent="0.25">
      <c r="A132" s="18">
        <v>1</v>
      </c>
      <c r="B132" s="200" t="s">
        <v>79</v>
      </c>
      <c r="C132" s="235">
        <f t="shared" si="56"/>
        <v>7286</v>
      </c>
      <c r="D132" s="235">
        <f t="shared" si="56"/>
        <v>4857</v>
      </c>
      <c r="E132" s="235">
        <f t="shared" si="56"/>
        <v>5249</v>
      </c>
      <c r="F132" s="322">
        <f>E132/D132*100</f>
        <v>108.07082561251802</v>
      </c>
      <c r="G132" s="486">
        <f t="shared" si="57"/>
        <v>9954.481600000001</v>
      </c>
      <c r="H132" s="486">
        <f t="shared" si="57"/>
        <v>6636.32</v>
      </c>
      <c r="I132" s="486">
        <f t="shared" si="57"/>
        <v>7326.768869999999</v>
      </c>
      <c r="J132" s="486">
        <f t="shared" si="57"/>
        <v>110.40409247896423</v>
      </c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  <c r="DW132" s="13"/>
      <c r="DX132" s="13"/>
      <c r="DY132" s="13"/>
      <c r="DZ132" s="13"/>
      <c r="EA132" s="13"/>
      <c r="EB132" s="13"/>
      <c r="EC132" s="13"/>
      <c r="ED132" s="13"/>
      <c r="EE132" s="13"/>
      <c r="EF132" s="13"/>
      <c r="EG132" s="13"/>
      <c r="EH132" s="13"/>
      <c r="EI132" s="13"/>
      <c r="EJ132" s="13"/>
      <c r="EK132" s="13"/>
      <c r="EL132" s="13"/>
      <c r="EM132" s="13"/>
      <c r="EN132" s="13"/>
      <c r="EO132" s="13"/>
      <c r="EP132" s="13"/>
      <c r="EQ132" s="13"/>
      <c r="ER132" s="13"/>
      <c r="ES132" s="13"/>
      <c r="ET132" s="13"/>
      <c r="EU132" s="13"/>
      <c r="EV132" s="13"/>
      <c r="EW132" s="13"/>
      <c r="EX132" s="13"/>
      <c r="EY132" s="13"/>
      <c r="EZ132" s="13"/>
      <c r="FA132" s="13"/>
      <c r="FB132" s="13"/>
      <c r="FC132" s="13"/>
      <c r="FD132" s="13"/>
      <c r="FE132" s="13"/>
      <c r="FF132" s="13"/>
      <c r="FG132" s="13"/>
      <c r="FH132" s="13"/>
      <c r="FI132" s="13"/>
      <c r="FJ132" s="13"/>
      <c r="FK132" s="13"/>
      <c r="FL132" s="13"/>
      <c r="FM132" s="13"/>
      <c r="FN132" s="13"/>
      <c r="FO132" s="13"/>
      <c r="FP132" s="13"/>
      <c r="FQ132" s="13"/>
      <c r="FR132" s="13"/>
      <c r="FS132" s="13"/>
      <c r="FT132" s="13"/>
      <c r="FU132" s="13"/>
      <c r="FV132" s="13"/>
      <c r="FW132" s="13"/>
      <c r="FX132" s="13"/>
      <c r="FY132" s="13"/>
      <c r="FZ132" s="13"/>
      <c r="GA132" s="13"/>
      <c r="GB132" s="13"/>
      <c r="GC132" s="13"/>
      <c r="GD132" s="13"/>
      <c r="GE132" s="13"/>
      <c r="GF132" s="13"/>
      <c r="GG132" s="13"/>
      <c r="GH132" s="13"/>
      <c r="GI132" s="13"/>
      <c r="GJ132" s="13"/>
      <c r="GK132" s="13"/>
      <c r="GL132" s="13"/>
      <c r="GM132" s="13"/>
      <c r="GN132" s="13"/>
      <c r="GO132" s="13"/>
      <c r="GP132" s="13"/>
      <c r="GQ132" s="13"/>
      <c r="GR132" s="13"/>
      <c r="GS132" s="13"/>
      <c r="GT132" s="13"/>
      <c r="GU132" s="13"/>
      <c r="GV132" s="13"/>
      <c r="GW132" s="13"/>
      <c r="GX132" s="13"/>
      <c r="GY132" s="13"/>
      <c r="GZ132" s="13"/>
      <c r="HA132" s="13"/>
      <c r="HB132" s="13"/>
      <c r="HC132" s="13"/>
      <c r="HD132" s="13"/>
      <c r="HE132" s="13"/>
      <c r="HF132" s="13"/>
      <c r="HG132" s="13"/>
      <c r="HH132" s="13"/>
      <c r="HI132" s="13"/>
      <c r="HJ132" s="13"/>
      <c r="HK132" s="13"/>
      <c r="HL132" s="13"/>
      <c r="HM132" s="13"/>
      <c r="HN132" s="13"/>
      <c r="HO132" s="13"/>
      <c r="HP132" s="13"/>
      <c r="HQ132" s="13"/>
      <c r="HR132" s="13"/>
      <c r="HS132" s="13"/>
      <c r="HT132" s="13"/>
      <c r="HU132" s="13"/>
      <c r="HV132" s="13"/>
      <c r="HW132" s="13"/>
      <c r="HX132" s="13"/>
      <c r="HY132" s="13"/>
      <c r="HZ132" s="13"/>
      <c r="IA132" s="13"/>
      <c r="IB132" s="13"/>
      <c r="IC132" s="13"/>
      <c r="ID132" s="13"/>
      <c r="IE132" s="13"/>
      <c r="IF132" s="13"/>
      <c r="IG132" s="13"/>
      <c r="IH132" s="13"/>
      <c r="II132" s="13"/>
      <c r="IJ132" s="13"/>
      <c r="IK132" s="13"/>
      <c r="IL132" s="13"/>
      <c r="IM132" s="13"/>
    </row>
    <row r="133" spans="1:247" s="10" customFormat="1" ht="30" x14ac:dyDescent="0.25">
      <c r="A133" s="18">
        <v>1</v>
      </c>
      <c r="B133" s="200" t="s">
        <v>80</v>
      </c>
      <c r="C133" s="235">
        <f t="shared" si="56"/>
        <v>2186</v>
      </c>
      <c r="D133" s="235">
        <f t="shared" si="56"/>
        <v>1457</v>
      </c>
      <c r="E133" s="235">
        <f t="shared" si="56"/>
        <v>760</v>
      </c>
      <c r="F133" s="322">
        <f>E133/D133*100</f>
        <v>52.161976664378862</v>
      </c>
      <c r="G133" s="486">
        <f t="shared" si="57"/>
        <v>3886.14255</v>
      </c>
      <c r="H133" s="486">
        <f t="shared" si="57"/>
        <v>2590.7600000000002</v>
      </c>
      <c r="I133" s="486">
        <f t="shared" si="57"/>
        <v>1318.6360099999999</v>
      </c>
      <c r="J133" s="486">
        <f t="shared" si="57"/>
        <v>50.897652040327927</v>
      </c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  <c r="DW133" s="13"/>
      <c r="DX133" s="13"/>
      <c r="DY133" s="13"/>
      <c r="DZ133" s="13"/>
      <c r="EA133" s="13"/>
      <c r="EB133" s="13"/>
      <c r="EC133" s="13"/>
      <c r="ED133" s="13"/>
      <c r="EE133" s="13"/>
      <c r="EF133" s="13"/>
      <c r="EG133" s="13"/>
      <c r="EH133" s="13"/>
      <c r="EI133" s="13"/>
      <c r="EJ133" s="13"/>
      <c r="EK133" s="13"/>
      <c r="EL133" s="13"/>
      <c r="EM133" s="13"/>
      <c r="EN133" s="13"/>
      <c r="EO133" s="13"/>
      <c r="EP133" s="13"/>
      <c r="EQ133" s="13"/>
      <c r="ER133" s="13"/>
      <c r="ES133" s="13"/>
      <c r="ET133" s="13"/>
      <c r="EU133" s="13"/>
      <c r="EV133" s="13"/>
      <c r="EW133" s="13"/>
      <c r="EX133" s="13"/>
      <c r="EY133" s="13"/>
      <c r="EZ133" s="13"/>
      <c r="FA133" s="13"/>
      <c r="FB133" s="13"/>
      <c r="FC133" s="13"/>
      <c r="FD133" s="13"/>
      <c r="FE133" s="13"/>
      <c r="FF133" s="13"/>
      <c r="FG133" s="13"/>
      <c r="FH133" s="13"/>
      <c r="FI133" s="13"/>
      <c r="FJ133" s="13"/>
      <c r="FK133" s="13"/>
      <c r="FL133" s="13"/>
      <c r="FM133" s="13"/>
      <c r="FN133" s="13"/>
      <c r="FO133" s="13"/>
      <c r="FP133" s="13"/>
      <c r="FQ133" s="13"/>
      <c r="FR133" s="13"/>
      <c r="FS133" s="13"/>
      <c r="FT133" s="13"/>
      <c r="FU133" s="13"/>
      <c r="FV133" s="13"/>
      <c r="FW133" s="13"/>
      <c r="FX133" s="13"/>
      <c r="FY133" s="13"/>
      <c r="FZ133" s="13"/>
      <c r="GA133" s="13"/>
      <c r="GB133" s="13"/>
      <c r="GC133" s="13"/>
      <c r="GD133" s="13"/>
      <c r="GE133" s="13"/>
      <c r="GF133" s="13"/>
      <c r="GG133" s="13"/>
      <c r="GH133" s="13"/>
      <c r="GI133" s="13"/>
      <c r="GJ133" s="13"/>
      <c r="GK133" s="13"/>
      <c r="GL133" s="13"/>
      <c r="GM133" s="13"/>
      <c r="GN133" s="13"/>
      <c r="GO133" s="13"/>
      <c r="GP133" s="13"/>
      <c r="GQ133" s="13"/>
      <c r="GR133" s="13"/>
      <c r="GS133" s="13"/>
      <c r="GT133" s="13"/>
      <c r="GU133" s="13"/>
      <c r="GV133" s="13"/>
      <c r="GW133" s="13"/>
      <c r="GX133" s="13"/>
      <c r="GY133" s="13"/>
      <c r="GZ133" s="13"/>
      <c r="HA133" s="13"/>
      <c r="HB133" s="13"/>
      <c r="HC133" s="13"/>
      <c r="HD133" s="13"/>
      <c r="HE133" s="13"/>
      <c r="HF133" s="13"/>
      <c r="HG133" s="13"/>
      <c r="HH133" s="13"/>
      <c r="HI133" s="13"/>
      <c r="HJ133" s="13"/>
      <c r="HK133" s="13"/>
      <c r="HL133" s="13"/>
      <c r="HM133" s="13"/>
      <c r="HN133" s="13"/>
      <c r="HO133" s="13"/>
      <c r="HP133" s="13"/>
      <c r="HQ133" s="13"/>
      <c r="HR133" s="13"/>
      <c r="HS133" s="13"/>
      <c r="HT133" s="13"/>
      <c r="HU133" s="13"/>
      <c r="HV133" s="13"/>
      <c r="HW133" s="13"/>
      <c r="HX133" s="13"/>
      <c r="HY133" s="13"/>
      <c r="HZ133" s="13"/>
      <c r="IA133" s="13"/>
      <c r="IB133" s="13"/>
      <c r="IC133" s="13"/>
      <c r="ID133" s="13"/>
      <c r="IE133" s="13"/>
      <c r="IF133" s="13"/>
      <c r="IG133" s="13"/>
      <c r="IH133" s="13"/>
      <c r="II133" s="13"/>
      <c r="IJ133" s="13"/>
      <c r="IK133" s="13"/>
      <c r="IL133" s="13"/>
      <c r="IM133" s="13"/>
    </row>
    <row r="134" spans="1:247" s="10" customFormat="1" ht="43.5" customHeight="1" x14ac:dyDescent="0.25">
      <c r="A134" s="18">
        <v>1</v>
      </c>
      <c r="B134" s="200" t="s">
        <v>114</v>
      </c>
      <c r="C134" s="235">
        <f t="shared" si="56"/>
        <v>49</v>
      </c>
      <c r="D134" s="235">
        <f t="shared" si="56"/>
        <v>33</v>
      </c>
      <c r="E134" s="235">
        <f t="shared" si="56"/>
        <v>43</v>
      </c>
      <c r="F134" s="322">
        <f>E134/D134*100</f>
        <v>130.30303030303031</v>
      </c>
      <c r="G134" s="486">
        <f t="shared" si="57"/>
        <v>321.54192</v>
      </c>
      <c r="H134" s="486">
        <f t="shared" si="57"/>
        <v>214.36</v>
      </c>
      <c r="I134" s="486">
        <f t="shared" si="57"/>
        <v>255.92112</v>
      </c>
      <c r="J134" s="486">
        <f t="shared" si="57"/>
        <v>119.38846799776077</v>
      </c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  <c r="DW134" s="13"/>
      <c r="DX134" s="13"/>
      <c r="DY134" s="13"/>
      <c r="DZ134" s="13"/>
      <c r="EA134" s="13"/>
      <c r="EB134" s="13"/>
      <c r="EC134" s="13"/>
      <c r="ED134" s="13"/>
      <c r="EE134" s="13"/>
      <c r="EF134" s="13"/>
      <c r="EG134" s="13"/>
      <c r="EH134" s="13"/>
      <c r="EI134" s="13"/>
      <c r="EJ134" s="13"/>
      <c r="EK134" s="13"/>
      <c r="EL134" s="13"/>
      <c r="EM134" s="13"/>
      <c r="EN134" s="13"/>
      <c r="EO134" s="13"/>
      <c r="EP134" s="13"/>
      <c r="EQ134" s="13"/>
      <c r="ER134" s="13"/>
      <c r="ES134" s="13"/>
      <c r="ET134" s="13"/>
      <c r="EU134" s="13"/>
      <c r="EV134" s="13"/>
      <c r="EW134" s="13"/>
      <c r="EX134" s="13"/>
      <c r="EY134" s="13"/>
      <c r="EZ134" s="13"/>
      <c r="FA134" s="13"/>
      <c r="FB134" s="13"/>
      <c r="FC134" s="13"/>
      <c r="FD134" s="13"/>
      <c r="FE134" s="13"/>
      <c r="FF134" s="13"/>
      <c r="FG134" s="13"/>
      <c r="FH134" s="13"/>
      <c r="FI134" s="13"/>
      <c r="FJ134" s="13"/>
      <c r="FK134" s="13"/>
      <c r="FL134" s="13"/>
      <c r="FM134" s="13"/>
      <c r="FN134" s="13"/>
      <c r="FO134" s="13"/>
      <c r="FP134" s="13"/>
      <c r="FQ134" s="13"/>
      <c r="FR134" s="13"/>
      <c r="FS134" s="13"/>
      <c r="FT134" s="13"/>
      <c r="FU134" s="13"/>
      <c r="FV134" s="13"/>
      <c r="FW134" s="13"/>
      <c r="FX134" s="13"/>
      <c r="FY134" s="13"/>
      <c r="FZ134" s="13"/>
      <c r="GA134" s="13"/>
      <c r="GB134" s="13"/>
      <c r="GC134" s="13"/>
      <c r="GD134" s="13"/>
      <c r="GE134" s="13"/>
      <c r="GF134" s="13"/>
      <c r="GG134" s="13"/>
      <c r="GH134" s="13"/>
      <c r="GI134" s="13"/>
      <c r="GJ134" s="13"/>
      <c r="GK134" s="13"/>
      <c r="GL134" s="13"/>
      <c r="GM134" s="13"/>
      <c r="GN134" s="13"/>
      <c r="GO134" s="13"/>
      <c r="GP134" s="13"/>
      <c r="GQ134" s="13"/>
      <c r="GR134" s="13"/>
      <c r="GS134" s="13"/>
      <c r="GT134" s="13"/>
      <c r="GU134" s="13"/>
      <c r="GV134" s="13"/>
      <c r="GW134" s="13"/>
      <c r="GX134" s="13"/>
      <c r="GY134" s="13"/>
      <c r="GZ134" s="13"/>
      <c r="HA134" s="13"/>
      <c r="HB134" s="13"/>
      <c r="HC134" s="13"/>
      <c r="HD134" s="13"/>
      <c r="HE134" s="13"/>
      <c r="HF134" s="13"/>
      <c r="HG134" s="13"/>
      <c r="HH134" s="13"/>
      <c r="HI134" s="13"/>
      <c r="HJ134" s="13"/>
      <c r="HK134" s="13"/>
      <c r="HL134" s="13"/>
      <c r="HM134" s="13"/>
      <c r="HN134" s="13"/>
      <c r="HO134" s="13"/>
      <c r="HP134" s="13"/>
      <c r="HQ134" s="13"/>
      <c r="HR134" s="13"/>
      <c r="HS134" s="13"/>
      <c r="HT134" s="13"/>
      <c r="HU134" s="13"/>
      <c r="HV134" s="13"/>
      <c r="HW134" s="13"/>
      <c r="HX134" s="13"/>
      <c r="HY134" s="13"/>
      <c r="HZ134" s="13"/>
      <c r="IA134" s="13"/>
      <c r="IB134" s="13"/>
      <c r="IC134" s="13"/>
      <c r="ID134" s="13"/>
      <c r="IE134" s="13"/>
      <c r="IF134" s="13"/>
      <c r="IG134" s="13"/>
      <c r="IH134" s="13"/>
      <c r="II134" s="13"/>
      <c r="IJ134" s="13"/>
      <c r="IK134" s="13"/>
      <c r="IL134" s="13"/>
      <c r="IM134" s="13"/>
    </row>
    <row r="135" spans="1:247" s="10" customFormat="1" ht="30" x14ac:dyDescent="0.25">
      <c r="A135" s="18">
        <v>1</v>
      </c>
      <c r="B135" s="200" t="s">
        <v>115</v>
      </c>
      <c r="C135" s="235">
        <f t="shared" si="56"/>
        <v>350</v>
      </c>
      <c r="D135" s="235">
        <f t="shared" si="56"/>
        <v>233</v>
      </c>
      <c r="E135" s="235">
        <f t="shared" si="56"/>
        <v>315</v>
      </c>
      <c r="F135" s="322"/>
      <c r="G135" s="486">
        <f t="shared" si="57"/>
        <v>2296.7280000000001</v>
      </c>
      <c r="H135" s="486">
        <f t="shared" si="57"/>
        <v>1531.15</v>
      </c>
      <c r="I135" s="486">
        <f t="shared" si="57"/>
        <v>2034.2447999999999</v>
      </c>
      <c r="J135" s="486">
        <f t="shared" si="57"/>
        <v>132.85731639617279</v>
      </c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  <c r="DW135" s="13"/>
      <c r="DX135" s="13"/>
      <c r="DY135" s="13"/>
      <c r="DZ135" s="13"/>
      <c r="EA135" s="13"/>
      <c r="EB135" s="13"/>
      <c r="EC135" s="13"/>
      <c r="ED135" s="13"/>
      <c r="EE135" s="13"/>
      <c r="EF135" s="13"/>
      <c r="EG135" s="13"/>
      <c r="EH135" s="13"/>
      <c r="EI135" s="13"/>
      <c r="EJ135" s="13"/>
      <c r="EK135" s="13"/>
      <c r="EL135" s="13"/>
      <c r="EM135" s="13"/>
      <c r="EN135" s="13"/>
      <c r="EO135" s="13"/>
      <c r="EP135" s="13"/>
      <c r="EQ135" s="13"/>
      <c r="ER135" s="13"/>
      <c r="ES135" s="13"/>
      <c r="ET135" s="13"/>
      <c r="EU135" s="13"/>
      <c r="EV135" s="13"/>
      <c r="EW135" s="13"/>
      <c r="EX135" s="13"/>
      <c r="EY135" s="13"/>
      <c r="EZ135" s="13"/>
      <c r="FA135" s="13"/>
      <c r="FB135" s="13"/>
      <c r="FC135" s="13"/>
      <c r="FD135" s="13"/>
      <c r="FE135" s="13"/>
      <c r="FF135" s="13"/>
      <c r="FG135" s="13"/>
      <c r="FH135" s="13"/>
      <c r="FI135" s="13"/>
      <c r="FJ135" s="13"/>
      <c r="FK135" s="13"/>
      <c r="FL135" s="13"/>
      <c r="FM135" s="13"/>
      <c r="FN135" s="13"/>
      <c r="FO135" s="13"/>
      <c r="FP135" s="13"/>
      <c r="FQ135" s="13"/>
      <c r="FR135" s="13"/>
      <c r="FS135" s="13"/>
      <c r="FT135" s="13"/>
      <c r="FU135" s="13"/>
      <c r="FV135" s="13"/>
      <c r="FW135" s="13"/>
      <c r="FX135" s="13"/>
      <c r="FY135" s="13"/>
      <c r="FZ135" s="13"/>
      <c r="GA135" s="13"/>
      <c r="GB135" s="13"/>
      <c r="GC135" s="13"/>
      <c r="GD135" s="13"/>
      <c r="GE135" s="13"/>
      <c r="GF135" s="13"/>
      <c r="GG135" s="13"/>
      <c r="GH135" s="13"/>
      <c r="GI135" s="13"/>
      <c r="GJ135" s="13"/>
      <c r="GK135" s="13"/>
      <c r="GL135" s="13"/>
      <c r="GM135" s="13"/>
      <c r="GN135" s="13"/>
      <c r="GO135" s="13"/>
      <c r="GP135" s="13"/>
      <c r="GQ135" s="13"/>
      <c r="GR135" s="13"/>
      <c r="GS135" s="13"/>
      <c r="GT135" s="13"/>
      <c r="GU135" s="13"/>
      <c r="GV135" s="13"/>
      <c r="GW135" s="13"/>
      <c r="GX135" s="13"/>
      <c r="GY135" s="13"/>
      <c r="GZ135" s="13"/>
      <c r="HA135" s="13"/>
      <c r="HB135" s="13"/>
      <c r="HC135" s="13"/>
      <c r="HD135" s="13"/>
      <c r="HE135" s="13"/>
      <c r="HF135" s="13"/>
      <c r="HG135" s="13"/>
      <c r="HH135" s="13"/>
      <c r="HI135" s="13"/>
      <c r="HJ135" s="13"/>
      <c r="HK135" s="13"/>
      <c r="HL135" s="13"/>
      <c r="HM135" s="13"/>
      <c r="HN135" s="13"/>
      <c r="HO135" s="13"/>
      <c r="HP135" s="13"/>
      <c r="HQ135" s="13"/>
      <c r="HR135" s="13"/>
      <c r="HS135" s="13"/>
      <c r="HT135" s="13"/>
      <c r="HU135" s="13"/>
      <c r="HV135" s="13"/>
      <c r="HW135" s="13"/>
      <c r="HX135" s="13"/>
      <c r="HY135" s="13"/>
      <c r="HZ135" s="13"/>
      <c r="IA135" s="13"/>
      <c r="IB135" s="13"/>
      <c r="IC135" s="13"/>
      <c r="ID135" s="13"/>
      <c r="IE135" s="13"/>
      <c r="IF135" s="13"/>
      <c r="IG135" s="13"/>
      <c r="IH135" s="13"/>
      <c r="II135" s="13"/>
      <c r="IJ135" s="13"/>
      <c r="IK135" s="13"/>
      <c r="IL135" s="13"/>
      <c r="IM135" s="13"/>
    </row>
    <row r="136" spans="1:247" s="10" customFormat="1" ht="45" customHeight="1" x14ac:dyDescent="0.25">
      <c r="A136" s="18">
        <v>1</v>
      </c>
      <c r="B136" s="234" t="s">
        <v>112</v>
      </c>
      <c r="C136" s="323">
        <f t="shared" si="56"/>
        <v>16426</v>
      </c>
      <c r="D136" s="323">
        <f t="shared" si="56"/>
        <v>10951</v>
      </c>
      <c r="E136" s="323">
        <f t="shared" si="56"/>
        <v>10756</v>
      </c>
      <c r="F136" s="323">
        <f t="shared" ref="F136:F143" si="58">F122</f>
        <v>98.219340699479503</v>
      </c>
      <c r="G136" s="486">
        <f t="shared" si="57"/>
        <v>36959.141160000006</v>
      </c>
      <c r="H136" s="486">
        <f t="shared" si="57"/>
        <v>24639.420000000002</v>
      </c>
      <c r="I136" s="486">
        <f t="shared" si="57"/>
        <v>22686.508049999997</v>
      </c>
      <c r="J136" s="486">
        <f t="shared" si="57"/>
        <v>92.074034413147686</v>
      </c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3"/>
      <c r="DX136" s="13"/>
      <c r="DY136" s="13"/>
      <c r="DZ136" s="13"/>
      <c r="EA136" s="13"/>
      <c r="EB136" s="13"/>
      <c r="EC136" s="13"/>
      <c r="ED136" s="13"/>
      <c r="EE136" s="13"/>
      <c r="EF136" s="13"/>
      <c r="EG136" s="13"/>
      <c r="EH136" s="13"/>
      <c r="EI136" s="13"/>
      <c r="EJ136" s="13"/>
      <c r="EK136" s="13"/>
      <c r="EL136" s="13"/>
      <c r="EM136" s="13"/>
      <c r="EN136" s="13"/>
      <c r="EO136" s="13"/>
      <c r="EP136" s="13"/>
      <c r="EQ136" s="13"/>
      <c r="ER136" s="13"/>
      <c r="ES136" s="13"/>
      <c r="ET136" s="13"/>
      <c r="EU136" s="13"/>
      <c r="EV136" s="13"/>
      <c r="EW136" s="13"/>
      <c r="EX136" s="13"/>
      <c r="EY136" s="13"/>
      <c r="EZ136" s="13"/>
      <c r="FA136" s="13"/>
      <c r="FB136" s="13"/>
      <c r="FC136" s="13"/>
      <c r="FD136" s="13"/>
      <c r="FE136" s="13"/>
      <c r="FF136" s="13"/>
      <c r="FG136" s="13"/>
      <c r="FH136" s="13"/>
      <c r="FI136" s="13"/>
      <c r="FJ136" s="13"/>
      <c r="FK136" s="13"/>
      <c r="FL136" s="13"/>
      <c r="FM136" s="13"/>
      <c r="FN136" s="13"/>
      <c r="FO136" s="13"/>
      <c r="FP136" s="13"/>
      <c r="FQ136" s="13"/>
      <c r="FR136" s="13"/>
      <c r="FS136" s="13"/>
      <c r="FT136" s="13"/>
      <c r="FU136" s="13"/>
      <c r="FV136" s="13"/>
      <c r="FW136" s="13"/>
      <c r="FX136" s="13"/>
      <c r="FY136" s="13"/>
      <c r="FZ136" s="13"/>
      <c r="GA136" s="13"/>
      <c r="GB136" s="13"/>
      <c r="GC136" s="13"/>
      <c r="GD136" s="13"/>
      <c r="GE136" s="13"/>
      <c r="GF136" s="13"/>
      <c r="GG136" s="13"/>
      <c r="GH136" s="13"/>
      <c r="GI136" s="13"/>
      <c r="GJ136" s="13"/>
      <c r="GK136" s="13"/>
      <c r="GL136" s="13"/>
      <c r="GM136" s="13"/>
      <c r="GN136" s="13"/>
      <c r="GO136" s="13"/>
      <c r="GP136" s="13"/>
      <c r="GQ136" s="13"/>
      <c r="GR136" s="13"/>
      <c r="GS136" s="13"/>
      <c r="GT136" s="13"/>
      <c r="GU136" s="13"/>
      <c r="GV136" s="13"/>
      <c r="GW136" s="13"/>
      <c r="GX136" s="13"/>
      <c r="GY136" s="13"/>
      <c r="GZ136" s="13"/>
      <c r="HA136" s="13"/>
      <c r="HB136" s="13"/>
      <c r="HC136" s="13"/>
      <c r="HD136" s="13"/>
      <c r="HE136" s="13"/>
      <c r="HF136" s="13"/>
      <c r="HG136" s="13"/>
      <c r="HH136" s="13"/>
      <c r="HI136" s="13"/>
      <c r="HJ136" s="13"/>
      <c r="HK136" s="13"/>
      <c r="HL136" s="13"/>
      <c r="HM136" s="13"/>
      <c r="HN136" s="13"/>
      <c r="HO136" s="13"/>
      <c r="HP136" s="13"/>
      <c r="HQ136" s="13"/>
      <c r="HR136" s="13"/>
      <c r="HS136" s="13"/>
      <c r="HT136" s="13"/>
      <c r="HU136" s="13"/>
      <c r="HV136" s="13"/>
      <c r="HW136" s="13"/>
      <c r="HX136" s="13"/>
      <c r="HY136" s="13"/>
      <c r="HZ136" s="13"/>
      <c r="IA136" s="13"/>
      <c r="IB136" s="13"/>
      <c r="IC136" s="13"/>
      <c r="ID136" s="13"/>
      <c r="IE136" s="13"/>
      <c r="IF136" s="13"/>
      <c r="IG136" s="13"/>
      <c r="IH136" s="13"/>
      <c r="II136" s="13"/>
      <c r="IJ136" s="13"/>
      <c r="IK136" s="13"/>
      <c r="IL136" s="13"/>
      <c r="IM136" s="13"/>
    </row>
    <row r="137" spans="1:247" s="10" customFormat="1" ht="30" x14ac:dyDescent="0.25">
      <c r="A137" s="18">
        <v>1</v>
      </c>
      <c r="B137" s="200" t="s">
        <v>108</v>
      </c>
      <c r="C137" s="323">
        <f t="shared" si="56"/>
        <v>1500</v>
      </c>
      <c r="D137" s="323">
        <f t="shared" si="56"/>
        <v>1000</v>
      </c>
      <c r="E137" s="323">
        <f t="shared" si="56"/>
        <v>561</v>
      </c>
      <c r="F137" s="323">
        <f t="shared" si="58"/>
        <v>56.100000000000009</v>
      </c>
      <c r="G137" s="486">
        <f t="shared" si="57"/>
        <v>3180.7649999999999</v>
      </c>
      <c r="H137" s="486">
        <f t="shared" si="57"/>
        <v>2120.5100000000002</v>
      </c>
      <c r="I137" s="486">
        <f t="shared" si="57"/>
        <v>1187.2709100000002</v>
      </c>
      <c r="J137" s="486">
        <f t="shared" si="57"/>
        <v>55.989875548806658</v>
      </c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  <c r="DW137" s="13"/>
      <c r="DX137" s="13"/>
      <c r="DY137" s="13"/>
      <c r="DZ137" s="13"/>
      <c r="EA137" s="13"/>
      <c r="EB137" s="13"/>
      <c r="EC137" s="13"/>
      <c r="ED137" s="13"/>
      <c r="EE137" s="13"/>
      <c r="EF137" s="13"/>
      <c r="EG137" s="13"/>
      <c r="EH137" s="13"/>
      <c r="EI137" s="13"/>
      <c r="EJ137" s="13"/>
      <c r="EK137" s="13"/>
      <c r="EL137" s="13"/>
      <c r="EM137" s="13"/>
      <c r="EN137" s="13"/>
      <c r="EO137" s="13"/>
      <c r="EP137" s="13"/>
      <c r="EQ137" s="13"/>
      <c r="ER137" s="13"/>
      <c r="ES137" s="13"/>
      <c r="ET137" s="13"/>
      <c r="EU137" s="13"/>
      <c r="EV137" s="13"/>
      <c r="EW137" s="13"/>
      <c r="EX137" s="13"/>
      <c r="EY137" s="13"/>
      <c r="EZ137" s="13"/>
      <c r="FA137" s="13"/>
      <c r="FB137" s="13"/>
      <c r="FC137" s="13"/>
      <c r="FD137" s="13"/>
      <c r="FE137" s="13"/>
      <c r="FF137" s="13"/>
      <c r="FG137" s="13"/>
      <c r="FH137" s="13"/>
      <c r="FI137" s="13"/>
      <c r="FJ137" s="13"/>
      <c r="FK137" s="13"/>
      <c r="FL137" s="13"/>
      <c r="FM137" s="13"/>
      <c r="FN137" s="13"/>
      <c r="FO137" s="13"/>
      <c r="FP137" s="13"/>
      <c r="FQ137" s="13"/>
      <c r="FR137" s="13"/>
      <c r="FS137" s="13"/>
      <c r="FT137" s="13"/>
      <c r="FU137" s="13"/>
      <c r="FV137" s="13"/>
      <c r="FW137" s="13"/>
      <c r="FX137" s="13"/>
      <c r="FY137" s="13"/>
      <c r="FZ137" s="13"/>
      <c r="GA137" s="13"/>
      <c r="GB137" s="13"/>
      <c r="GC137" s="13"/>
      <c r="GD137" s="13"/>
      <c r="GE137" s="13"/>
      <c r="GF137" s="13"/>
      <c r="GG137" s="13"/>
      <c r="GH137" s="13"/>
      <c r="GI137" s="13"/>
      <c r="GJ137" s="13"/>
      <c r="GK137" s="13"/>
      <c r="GL137" s="13"/>
      <c r="GM137" s="13"/>
      <c r="GN137" s="13"/>
      <c r="GO137" s="13"/>
      <c r="GP137" s="13"/>
      <c r="GQ137" s="13"/>
      <c r="GR137" s="13"/>
      <c r="GS137" s="13"/>
      <c r="GT137" s="13"/>
      <c r="GU137" s="13"/>
      <c r="GV137" s="13"/>
      <c r="GW137" s="13"/>
      <c r="GX137" s="13"/>
      <c r="GY137" s="13"/>
      <c r="GZ137" s="13"/>
      <c r="HA137" s="13"/>
      <c r="HB137" s="13"/>
      <c r="HC137" s="13"/>
      <c r="HD137" s="13"/>
      <c r="HE137" s="13"/>
      <c r="HF137" s="13"/>
      <c r="HG137" s="13"/>
      <c r="HH137" s="13"/>
      <c r="HI137" s="13"/>
      <c r="HJ137" s="13"/>
      <c r="HK137" s="13"/>
      <c r="HL137" s="13"/>
      <c r="HM137" s="13"/>
      <c r="HN137" s="13"/>
      <c r="HO137" s="13"/>
      <c r="HP137" s="13"/>
      <c r="HQ137" s="13"/>
      <c r="HR137" s="13"/>
      <c r="HS137" s="13"/>
      <c r="HT137" s="13"/>
      <c r="HU137" s="13"/>
      <c r="HV137" s="13"/>
      <c r="HW137" s="13"/>
      <c r="HX137" s="13"/>
      <c r="HY137" s="13"/>
      <c r="HZ137" s="13"/>
      <c r="IA137" s="13"/>
      <c r="IB137" s="13"/>
      <c r="IC137" s="13"/>
      <c r="ID137" s="13"/>
      <c r="IE137" s="13"/>
      <c r="IF137" s="13"/>
      <c r="IG137" s="13"/>
      <c r="IH137" s="13"/>
      <c r="II137" s="13"/>
      <c r="IJ137" s="13"/>
      <c r="IK137" s="13"/>
      <c r="IL137" s="13"/>
      <c r="IM137" s="13"/>
    </row>
    <row r="138" spans="1:247" s="10" customFormat="1" ht="45" customHeight="1" x14ac:dyDescent="0.25">
      <c r="A138" s="18">
        <v>1</v>
      </c>
      <c r="B138" s="200" t="s">
        <v>81</v>
      </c>
      <c r="C138" s="323">
        <f t="shared" si="56"/>
        <v>10800</v>
      </c>
      <c r="D138" s="323">
        <f t="shared" si="56"/>
        <v>7200</v>
      </c>
      <c r="E138" s="323">
        <f t="shared" si="56"/>
        <v>6927</v>
      </c>
      <c r="F138" s="323">
        <f t="shared" si="58"/>
        <v>96.208333333333329</v>
      </c>
      <c r="G138" s="486">
        <f t="shared" si="57"/>
        <v>29734.236000000001</v>
      </c>
      <c r="H138" s="486">
        <f t="shared" si="57"/>
        <v>19822.82</v>
      </c>
      <c r="I138" s="486">
        <f t="shared" si="57"/>
        <v>17987.798859999999</v>
      </c>
      <c r="J138" s="486">
        <f t="shared" si="57"/>
        <v>90.74288552284689</v>
      </c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  <c r="DW138" s="13"/>
      <c r="DX138" s="13"/>
      <c r="DY138" s="13"/>
      <c r="DZ138" s="13"/>
      <c r="EA138" s="13"/>
      <c r="EB138" s="13"/>
      <c r="EC138" s="13"/>
      <c r="ED138" s="13"/>
      <c r="EE138" s="13"/>
      <c r="EF138" s="13"/>
      <c r="EG138" s="13"/>
      <c r="EH138" s="13"/>
      <c r="EI138" s="13"/>
      <c r="EJ138" s="13"/>
      <c r="EK138" s="13"/>
      <c r="EL138" s="13"/>
      <c r="EM138" s="13"/>
      <c r="EN138" s="13"/>
      <c r="EO138" s="13"/>
      <c r="EP138" s="13"/>
      <c r="EQ138" s="13"/>
      <c r="ER138" s="13"/>
      <c r="ES138" s="13"/>
      <c r="ET138" s="13"/>
      <c r="EU138" s="13"/>
      <c r="EV138" s="13"/>
      <c r="EW138" s="13"/>
      <c r="EX138" s="13"/>
      <c r="EY138" s="13"/>
      <c r="EZ138" s="13"/>
      <c r="FA138" s="13"/>
      <c r="FB138" s="13"/>
      <c r="FC138" s="13"/>
      <c r="FD138" s="13"/>
      <c r="FE138" s="13"/>
      <c r="FF138" s="13"/>
      <c r="FG138" s="13"/>
      <c r="FH138" s="13"/>
      <c r="FI138" s="13"/>
      <c r="FJ138" s="13"/>
      <c r="FK138" s="13"/>
      <c r="FL138" s="13"/>
      <c r="FM138" s="13"/>
      <c r="FN138" s="13"/>
      <c r="FO138" s="13"/>
      <c r="FP138" s="13"/>
      <c r="FQ138" s="13"/>
      <c r="FR138" s="13"/>
      <c r="FS138" s="13"/>
      <c r="FT138" s="13"/>
      <c r="FU138" s="13"/>
      <c r="FV138" s="13"/>
      <c r="FW138" s="13"/>
      <c r="FX138" s="13"/>
      <c r="FY138" s="13"/>
      <c r="FZ138" s="13"/>
      <c r="GA138" s="13"/>
      <c r="GB138" s="13"/>
      <c r="GC138" s="13"/>
      <c r="GD138" s="13"/>
      <c r="GE138" s="13"/>
      <c r="GF138" s="13"/>
      <c r="GG138" s="13"/>
      <c r="GH138" s="13"/>
      <c r="GI138" s="13"/>
      <c r="GJ138" s="13"/>
      <c r="GK138" s="13"/>
      <c r="GL138" s="13"/>
      <c r="GM138" s="13"/>
      <c r="GN138" s="13"/>
      <c r="GO138" s="13"/>
      <c r="GP138" s="13"/>
      <c r="GQ138" s="13"/>
      <c r="GR138" s="13"/>
      <c r="GS138" s="13"/>
      <c r="GT138" s="13"/>
      <c r="GU138" s="13"/>
      <c r="GV138" s="13"/>
      <c r="GW138" s="13"/>
      <c r="GX138" s="13"/>
      <c r="GY138" s="13"/>
      <c r="GZ138" s="13"/>
      <c r="HA138" s="13"/>
      <c r="HB138" s="13"/>
      <c r="HC138" s="13"/>
      <c r="HD138" s="13"/>
      <c r="HE138" s="13"/>
      <c r="HF138" s="13"/>
      <c r="HG138" s="13"/>
      <c r="HH138" s="13"/>
      <c r="HI138" s="13"/>
      <c r="HJ138" s="13"/>
      <c r="HK138" s="13"/>
      <c r="HL138" s="13"/>
      <c r="HM138" s="13"/>
      <c r="HN138" s="13"/>
      <c r="HO138" s="13"/>
      <c r="HP138" s="13"/>
      <c r="HQ138" s="13"/>
      <c r="HR138" s="13"/>
      <c r="HS138" s="13"/>
      <c r="HT138" s="13"/>
      <c r="HU138" s="13"/>
      <c r="HV138" s="13"/>
      <c r="HW138" s="13"/>
      <c r="HX138" s="13"/>
      <c r="HY138" s="13"/>
      <c r="HZ138" s="13"/>
      <c r="IA138" s="13"/>
      <c r="IB138" s="13"/>
      <c r="IC138" s="13"/>
      <c r="ID138" s="13"/>
      <c r="IE138" s="13"/>
      <c r="IF138" s="13"/>
      <c r="IG138" s="13"/>
      <c r="IH138" s="13"/>
      <c r="II138" s="13"/>
      <c r="IJ138" s="13"/>
      <c r="IK138" s="13"/>
      <c r="IL138" s="13"/>
      <c r="IM138" s="13"/>
    </row>
    <row r="139" spans="1:247" s="10" customFormat="1" ht="45" customHeight="1" x14ac:dyDescent="0.25">
      <c r="A139" s="18">
        <v>1</v>
      </c>
      <c r="B139" s="200" t="s">
        <v>109</v>
      </c>
      <c r="C139" s="323">
        <f t="shared" si="56"/>
        <v>4126</v>
      </c>
      <c r="D139" s="323">
        <f t="shared" si="56"/>
        <v>2751</v>
      </c>
      <c r="E139" s="323">
        <f t="shared" si="56"/>
        <v>3268</v>
      </c>
      <c r="F139" s="323">
        <f t="shared" si="58"/>
        <v>118.79316612141039</v>
      </c>
      <c r="G139" s="486">
        <f t="shared" si="57"/>
        <v>4044.1401599999999</v>
      </c>
      <c r="H139" s="486">
        <f t="shared" si="57"/>
        <v>2696.09</v>
      </c>
      <c r="I139" s="486">
        <f t="shared" si="57"/>
        <v>3511.4382799999998</v>
      </c>
      <c r="J139" s="486">
        <f t="shared" si="57"/>
        <v>130.24187916575485</v>
      </c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  <c r="DW139" s="13"/>
      <c r="DX139" s="13"/>
      <c r="DY139" s="13"/>
      <c r="DZ139" s="13"/>
      <c r="EA139" s="13"/>
      <c r="EB139" s="13"/>
      <c r="EC139" s="13"/>
      <c r="ED139" s="13"/>
      <c r="EE139" s="13"/>
      <c r="EF139" s="13"/>
      <c r="EG139" s="13"/>
      <c r="EH139" s="13"/>
      <c r="EI139" s="13"/>
      <c r="EJ139" s="13"/>
      <c r="EK139" s="13"/>
      <c r="EL139" s="13"/>
      <c r="EM139" s="13"/>
      <c r="EN139" s="13"/>
      <c r="EO139" s="13"/>
      <c r="EP139" s="13"/>
      <c r="EQ139" s="13"/>
      <c r="ER139" s="13"/>
      <c r="ES139" s="13"/>
      <c r="ET139" s="13"/>
      <c r="EU139" s="13"/>
      <c r="EV139" s="13"/>
      <c r="EW139" s="13"/>
      <c r="EX139" s="13"/>
      <c r="EY139" s="13"/>
      <c r="EZ139" s="13"/>
      <c r="FA139" s="13"/>
      <c r="FB139" s="13"/>
      <c r="FC139" s="13"/>
      <c r="FD139" s="13"/>
      <c r="FE139" s="13"/>
      <c r="FF139" s="13"/>
      <c r="FG139" s="13"/>
      <c r="FH139" s="13"/>
      <c r="FI139" s="13"/>
      <c r="FJ139" s="13"/>
      <c r="FK139" s="13"/>
      <c r="FL139" s="13"/>
      <c r="FM139" s="13"/>
      <c r="FN139" s="13"/>
      <c r="FO139" s="13"/>
      <c r="FP139" s="13"/>
      <c r="FQ139" s="13"/>
      <c r="FR139" s="13"/>
      <c r="FS139" s="13"/>
      <c r="FT139" s="13"/>
      <c r="FU139" s="13"/>
      <c r="FV139" s="13"/>
      <c r="FW139" s="13"/>
      <c r="FX139" s="13"/>
      <c r="FY139" s="13"/>
      <c r="FZ139" s="13"/>
      <c r="GA139" s="13"/>
      <c r="GB139" s="13"/>
      <c r="GC139" s="13"/>
      <c r="GD139" s="13"/>
      <c r="GE139" s="13"/>
      <c r="GF139" s="13"/>
      <c r="GG139" s="13"/>
      <c r="GH139" s="13"/>
      <c r="GI139" s="13"/>
      <c r="GJ139" s="13"/>
      <c r="GK139" s="13"/>
      <c r="GL139" s="13"/>
      <c r="GM139" s="13"/>
      <c r="GN139" s="13"/>
      <c r="GO139" s="13"/>
      <c r="GP139" s="13"/>
      <c r="GQ139" s="13"/>
      <c r="GR139" s="13"/>
      <c r="GS139" s="13"/>
      <c r="GT139" s="13"/>
      <c r="GU139" s="13"/>
      <c r="GV139" s="13"/>
      <c r="GW139" s="13"/>
      <c r="GX139" s="13"/>
      <c r="GY139" s="13"/>
      <c r="GZ139" s="13"/>
      <c r="HA139" s="13"/>
      <c r="HB139" s="13"/>
      <c r="HC139" s="13"/>
      <c r="HD139" s="13"/>
      <c r="HE139" s="13"/>
      <c r="HF139" s="13"/>
      <c r="HG139" s="13"/>
      <c r="HH139" s="13"/>
      <c r="HI139" s="13"/>
      <c r="HJ139" s="13"/>
      <c r="HK139" s="13"/>
      <c r="HL139" s="13"/>
      <c r="HM139" s="13"/>
      <c r="HN139" s="13"/>
      <c r="HO139" s="13"/>
      <c r="HP139" s="13"/>
      <c r="HQ139" s="13"/>
      <c r="HR139" s="13"/>
      <c r="HS139" s="13"/>
      <c r="HT139" s="13"/>
      <c r="HU139" s="13"/>
      <c r="HV139" s="13"/>
      <c r="HW139" s="13"/>
      <c r="HX139" s="13"/>
      <c r="HY139" s="13"/>
      <c r="HZ139" s="13"/>
      <c r="IA139" s="13"/>
      <c r="IB139" s="13"/>
      <c r="IC139" s="13"/>
      <c r="ID139" s="13"/>
      <c r="IE139" s="13"/>
      <c r="IF139" s="13"/>
      <c r="IG139" s="13"/>
      <c r="IH139" s="13"/>
      <c r="II139" s="13"/>
      <c r="IJ139" s="13"/>
      <c r="IK139" s="13"/>
      <c r="IL139" s="13"/>
      <c r="IM139" s="13"/>
    </row>
    <row r="140" spans="1:247" s="10" customFormat="1" ht="38.1" customHeight="1" x14ac:dyDescent="0.25">
      <c r="A140" s="18"/>
      <c r="B140" s="675" t="s">
        <v>123</v>
      </c>
      <c r="C140" s="676">
        <f t="shared" ref="C140:E142" si="59">SUM(C126)</f>
        <v>43595</v>
      </c>
      <c r="D140" s="676">
        <f t="shared" si="59"/>
        <v>29063</v>
      </c>
      <c r="E140" s="676">
        <f t="shared" si="59"/>
        <v>28737</v>
      </c>
      <c r="F140" s="323">
        <f t="shared" si="58"/>
        <v>98.878298867976469</v>
      </c>
      <c r="G140" s="676">
        <f t="shared" ref="G140:I142" si="60">SUM(G126)</f>
        <v>37074.815900000001</v>
      </c>
      <c r="H140" s="676">
        <f t="shared" si="60"/>
        <v>24716.54</v>
      </c>
      <c r="I140" s="676">
        <f t="shared" si="60"/>
        <v>27930.13927</v>
      </c>
      <c r="J140" s="486">
        <f>J126</f>
        <v>113.00181688051806</v>
      </c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  <c r="DW140" s="13"/>
      <c r="DX140" s="13"/>
      <c r="DY140" s="13"/>
      <c r="DZ140" s="13"/>
      <c r="EA140" s="13"/>
      <c r="EB140" s="13"/>
      <c r="EC140" s="13"/>
      <c r="ED140" s="13"/>
      <c r="EE140" s="13"/>
      <c r="EF140" s="13"/>
      <c r="EG140" s="13"/>
      <c r="EH140" s="13"/>
      <c r="EI140" s="13"/>
      <c r="EJ140" s="13"/>
      <c r="EK140" s="13"/>
      <c r="EL140" s="13"/>
      <c r="EM140" s="13"/>
      <c r="EN140" s="13"/>
      <c r="EO140" s="13"/>
      <c r="EP140" s="13"/>
      <c r="EQ140" s="13"/>
      <c r="ER140" s="13"/>
      <c r="ES140" s="13"/>
      <c r="ET140" s="13"/>
      <c r="EU140" s="13"/>
      <c r="EV140" s="13"/>
      <c r="EW140" s="13"/>
      <c r="EX140" s="13"/>
      <c r="EY140" s="13"/>
      <c r="EZ140" s="13"/>
      <c r="FA140" s="13"/>
      <c r="FB140" s="13"/>
      <c r="FC140" s="13"/>
      <c r="FD140" s="13"/>
      <c r="FE140" s="13"/>
      <c r="FF140" s="13"/>
      <c r="FG140" s="13"/>
      <c r="FH140" s="13"/>
      <c r="FI140" s="13"/>
      <c r="FJ140" s="13"/>
      <c r="FK140" s="13"/>
      <c r="FL140" s="13"/>
      <c r="FM140" s="13"/>
      <c r="FN140" s="13"/>
      <c r="FO140" s="13"/>
      <c r="FP140" s="13"/>
      <c r="FQ140" s="13"/>
      <c r="FR140" s="13"/>
      <c r="FS140" s="13"/>
      <c r="FT140" s="13"/>
      <c r="FU140" s="13"/>
      <c r="FV140" s="13"/>
      <c r="FW140" s="13"/>
      <c r="FX140" s="13"/>
      <c r="FY140" s="13"/>
      <c r="FZ140" s="13"/>
      <c r="GA140" s="13"/>
      <c r="GB140" s="13"/>
      <c r="GC140" s="13"/>
      <c r="GD140" s="13"/>
      <c r="GE140" s="13"/>
      <c r="GF140" s="13"/>
      <c r="GG140" s="13"/>
      <c r="GH140" s="13"/>
      <c r="GI140" s="13"/>
      <c r="GJ140" s="13"/>
      <c r="GK140" s="13"/>
      <c r="GL140" s="13"/>
      <c r="GM140" s="13"/>
      <c r="GN140" s="13"/>
      <c r="GO140" s="13"/>
      <c r="GP140" s="13"/>
      <c r="GQ140" s="13"/>
      <c r="GR140" s="13"/>
      <c r="GS140" s="13"/>
      <c r="GT140" s="13"/>
      <c r="GU140" s="13"/>
      <c r="GV140" s="13"/>
      <c r="GW140" s="13"/>
      <c r="GX140" s="13"/>
      <c r="GY140" s="13"/>
      <c r="GZ140" s="13"/>
      <c r="HA140" s="13"/>
      <c r="HB140" s="13"/>
      <c r="HC140" s="13"/>
      <c r="HD140" s="13"/>
      <c r="HE140" s="13"/>
      <c r="HF140" s="13"/>
      <c r="HG140" s="13"/>
      <c r="HH140" s="13"/>
      <c r="HI140" s="13"/>
      <c r="HJ140" s="13"/>
      <c r="HK140" s="13"/>
      <c r="HL140" s="13"/>
      <c r="HM140" s="13"/>
      <c r="HN140" s="13"/>
      <c r="HO140" s="13"/>
      <c r="HP140" s="13"/>
      <c r="HQ140" s="13"/>
      <c r="HR140" s="13"/>
      <c r="HS140" s="13"/>
      <c r="HT140" s="13"/>
      <c r="HU140" s="13"/>
      <c r="HV140" s="13"/>
      <c r="HW140" s="13"/>
      <c r="HX140" s="13"/>
      <c r="HY140" s="13"/>
      <c r="HZ140" s="13"/>
      <c r="IA140" s="13"/>
      <c r="IB140" s="13"/>
      <c r="IC140" s="13"/>
      <c r="ID140" s="13"/>
      <c r="IE140" s="13"/>
      <c r="IF140" s="13"/>
      <c r="IG140" s="13"/>
      <c r="IH140" s="13"/>
      <c r="II140" s="13"/>
      <c r="IJ140" s="13"/>
      <c r="IK140" s="13"/>
      <c r="IL140" s="13"/>
      <c r="IM140" s="13"/>
    </row>
    <row r="141" spans="1:247" s="10" customFormat="1" ht="38.1" customHeight="1" x14ac:dyDescent="0.25">
      <c r="A141" s="18"/>
      <c r="B141" s="675" t="s">
        <v>124</v>
      </c>
      <c r="C141" s="676">
        <f t="shared" si="59"/>
        <v>2640</v>
      </c>
      <c r="D141" s="676">
        <f t="shared" si="59"/>
        <v>1760</v>
      </c>
      <c r="E141" s="676">
        <f t="shared" si="59"/>
        <v>1733</v>
      </c>
      <c r="F141" s="323">
        <f t="shared" si="58"/>
        <v>98.465909090909093</v>
      </c>
      <c r="G141" s="676">
        <f t="shared" si="60"/>
        <v>2569.3008000000004</v>
      </c>
      <c r="H141" s="676">
        <f t="shared" si="60"/>
        <v>1712.87</v>
      </c>
      <c r="I141" s="676">
        <f t="shared" si="60"/>
        <v>1684.4186900000002</v>
      </c>
      <c r="J141" s="486">
        <f>J127</f>
        <v>98.338968514831848</v>
      </c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  <c r="DW141" s="13"/>
      <c r="DX141" s="13"/>
      <c r="DY141" s="13"/>
      <c r="DZ141" s="13"/>
      <c r="EA141" s="13"/>
      <c r="EB141" s="13"/>
      <c r="EC141" s="13"/>
      <c r="ED141" s="13"/>
      <c r="EE141" s="13"/>
      <c r="EF141" s="13"/>
      <c r="EG141" s="13"/>
      <c r="EH141" s="13"/>
      <c r="EI141" s="13"/>
      <c r="EJ141" s="13"/>
      <c r="EK141" s="13"/>
      <c r="EL141" s="13"/>
      <c r="EM141" s="13"/>
      <c r="EN141" s="13"/>
      <c r="EO141" s="13"/>
      <c r="EP141" s="13"/>
      <c r="EQ141" s="13"/>
      <c r="ER141" s="13"/>
      <c r="ES141" s="13"/>
      <c r="ET141" s="13"/>
      <c r="EU141" s="13"/>
      <c r="EV141" s="13"/>
      <c r="EW141" s="13"/>
      <c r="EX141" s="13"/>
      <c r="EY141" s="13"/>
      <c r="EZ141" s="13"/>
      <c r="FA141" s="13"/>
      <c r="FB141" s="13"/>
      <c r="FC141" s="13"/>
      <c r="FD141" s="13"/>
      <c r="FE141" s="13"/>
      <c r="FF141" s="13"/>
      <c r="FG141" s="13"/>
      <c r="FH141" s="13"/>
      <c r="FI141" s="13"/>
      <c r="FJ141" s="13"/>
      <c r="FK141" s="13"/>
      <c r="FL141" s="13"/>
      <c r="FM141" s="13"/>
      <c r="FN141" s="13"/>
      <c r="FO141" s="13"/>
      <c r="FP141" s="13"/>
      <c r="FQ141" s="13"/>
      <c r="FR141" s="13"/>
      <c r="FS141" s="13"/>
      <c r="FT141" s="13"/>
      <c r="FU141" s="13"/>
      <c r="FV141" s="13"/>
      <c r="FW141" s="13"/>
      <c r="FX141" s="13"/>
      <c r="FY141" s="13"/>
      <c r="FZ141" s="13"/>
      <c r="GA141" s="13"/>
      <c r="GB141" s="13"/>
      <c r="GC141" s="13"/>
      <c r="GD141" s="13"/>
      <c r="GE141" s="13"/>
      <c r="GF141" s="13"/>
      <c r="GG141" s="13"/>
      <c r="GH141" s="13"/>
      <c r="GI141" s="13"/>
      <c r="GJ141" s="13"/>
      <c r="GK141" s="13"/>
      <c r="GL141" s="13"/>
      <c r="GM141" s="13"/>
      <c r="GN141" s="13"/>
      <c r="GO141" s="13"/>
      <c r="GP141" s="13"/>
      <c r="GQ141" s="13"/>
      <c r="GR141" s="13"/>
      <c r="GS141" s="13"/>
      <c r="GT141" s="13"/>
      <c r="GU141" s="13"/>
      <c r="GV141" s="13"/>
      <c r="GW141" s="13"/>
      <c r="GX141" s="13"/>
      <c r="GY141" s="13"/>
      <c r="GZ141" s="13"/>
      <c r="HA141" s="13"/>
      <c r="HB141" s="13"/>
      <c r="HC141" s="13"/>
      <c r="HD141" s="13"/>
      <c r="HE141" s="13"/>
      <c r="HF141" s="13"/>
      <c r="HG141" s="13"/>
      <c r="HH141" s="13"/>
      <c r="HI141" s="13"/>
      <c r="HJ141" s="13"/>
      <c r="HK141" s="13"/>
      <c r="HL141" s="13"/>
      <c r="HM141" s="13"/>
      <c r="HN141" s="13"/>
      <c r="HO141" s="13"/>
      <c r="HP141" s="13"/>
      <c r="HQ141" s="13"/>
      <c r="HR141" s="13"/>
      <c r="HS141" s="13"/>
      <c r="HT141" s="13"/>
      <c r="HU141" s="13"/>
      <c r="HV141" s="13"/>
      <c r="HW141" s="13"/>
      <c r="HX141" s="13"/>
      <c r="HY141" s="13"/>
      <c r="HZ141" s="13"/>
      <c r="IA141" s="13"/>
      <c r="IB141" s="13"/>
      <c r="IC141" s="13"/>
      <c r="ID141" s="13"/>
      <c r="IE141" s="13"/>
      <c r="IF141" s="13"/>
      <c r="IG141" s="13"/>
      <c r="IH141" s="13"/>
      <c r="II141" s="13"/>
      <c r="IJ141" s="13"/>
      <c r="IK141" s="13"/>
      <c r="IL141" s="13"/>
      <c r="IM141" s="13"/>
    </row>
    <row r="142" spans="1:247" s="10" customFormat="1" ht="38.1" customHeight="1" x14ac:dyDescent="0.25">
      <c r="A142" s="18"/>
      <c r="B142" s="675" t="s">
        <v>125</v>
      </c>
      <c r="C142" s="676">
        <f t="shared" si="59"/>
        <v>3143</v>
      </c>
      <c r="D142" s="676">
        <f t="shared" si="59"/>
        <v>2095</v>
      </c>
      <c r="E142" s="676">
        <f t="shared" si="59"/>
        <v>1217</v>
      </c>
      <c r="F142" s="323">
        <f t="shared" si="58"/>
        <v>58.090692124105011</v>
      </c>
      <c r="G142" s="676">
        <f t="shared" si="60"/>
        <v>3058.8304600000001</v>
      </c>
      <c r="H142" s="676">
        <f t="shared" si="60"/>
        <v>2039.22</v>
      </c>
      <c r="I142" s="676">
        <f t="shared" si="60"/>
        <v>1183.5270600000003</v>
      </c>
      <c r="J142" s="486">
        <f>J128</f>
        <v>58.038223438373514</v>
      </c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  <c r="EN142" s="13"/>
      <c r="EO142" s="13"/>
      <c r="EP142" s="13"/>
      <c r="EQ142" s="13"/>
      <c r="ER142" s="13"/>
      <c r="ES142" s="13"/>
      <c r="ET142" s="13"/>
      <c r="EU142" s="13"/>
      <c r="EV142" s="13"/>
      <c r="EW142" s="13"/>
      <c r="EX142" s="13"/>
      <c r="EY142" s="13"/>
      <c r="EZ142" s="13"/>
      <c r="FA142" s="13"/>
      <c r="FB142" s="13"/>
      <c r="FC142" s="13"/>
      <c r="FD142" s="13"/>
      <c r="FE142" s="13"/>
      <c r="FF142" s="13"/>
      <c r="FG142" s="13"/>
      <c r="FH142" s="13"/>
      <c r="FI142" s="13"/>
      <c r="FJ142" s="13"/>
      <c r="FK142" s="13"/>
      <c r="FL142" s="13"/>
      <c r="FM142" s="13"/>
      <c r="FN142" s="13"/>
      <c r="FO142" s="13"/>
      <c r="FP142" s="13"/>
      <c r="FQ142" s="13"/>
      <c r="FR142" s="13"/>
      <c r="FS142" s="13"/>
      <c r="FT142" s="13"/>
      <c r="FU142" s="13"/>
      <c r="FV142" s="13"/>
      <c r="FW142" s="13"/>
      <c r="FX142" s="13"/>
      <c r="FY142" s="13"/>
      <c r="FZ142" s="13"/>
      <c r="GA142" s="13"/>
      <c r="GB142" s="13"/>
      <c r="GC142" s="13"/>
      <c r="GD142" s="13"/>
      <c r="GE142" s="13"/>
      <c r="GF142" s="13"/>
      <c r="GG142" s="13"/>
      <c r="GH142" s="13"/>
      <c r="GI142" s="13"/>
      <c r="GJ142" s="13"/>
      <c r="GK142" s="13"/>
      <c r="GL142" s="13"/>
      <c r="GM142" s="13"/>
      <c r="GN142" s="13"/>
      <c r="GO142" s="13"/>
      <c r="GP142" s="13"/>
      <c r="GQ142" s="13"/>
      <c r="GR142" s="13"/>
      <c r="GS142" s="13"/>
      <c r="GT142" s="13"/>
      <c r="GU142" s="13"/>
      <c r="GV142" s="13"/>
      <c r="GW142" s="13"/>
      <c r="GX142" s="13"/>
      <c r="GY142" s="13"/>
      <c r="GZ142" s="13"/>
      <c r="HA142" s="13"/>
      <c r="HB142" s="13"/>
      <c r="HC142" s="13"/>
      <c r="HD142" s="13"/>
      <c r="HE142" s="13"/>
      <c r="HF142" s="13"/>
      <c r="HG142" s="13"/>
      <c r="HH142" s="13"/>
      <c r="HI142" s="13"/>
      <c r="HJ142" s="13"/>
      <c r="HK142" s="13"/>
      <c r="HL142" s="13"/>
      <c r="HM142" s="13"/>
      <c r="HN142" s="13"/>
      <c r="HO142" s="13"/>
      <c r="HP142" s="13"/>
      <c r="HQ142" s="13"/>
      <c r="HR142" s="13"/>
      <c r="HS142" s="13"/>
      <c r="HT142" s="13"/>
      <c r="HU142" s="13"/>
      <c r="HV142" s="13"/>
      <c r="HW142" s="13"/>
      <c r="HX142" s="13"/>
      <c r="HY142" s="13"/>
      <c r="HZ142" s="13"/>
      <c r="IA142" s="13"/>
      <c r="IB142" s="13"/>
      <c r="IC142" s="13"/>
      <c r="ID142" s="13"/>
      <c r="IE142" s="13"/>
      <c r="IF142" s="13"/>
      <c r="IG142" s="13"/>
      <c r="IH142" s="13"/>
      <c r="II142" s="13"/>
      <c r="IJ142" s="13"/>
      <c r="IK142" s="13"/>
      <c r="IL142" s="13"/>
      <c r="IM142" s="13"/>
    </row>
    <row r="143" spans="1:247" s="10" customFormat="1" ht="15" customHeight="1" thickBot="1" x14ac:dyDescent="0.3">
      <c r="A143" s="18">
        <v>1</v>
      </c>
      <c r="B143" s="528" t="s">
        <v>117</v>
      </c>
      <c r="C143" s="529">
        <f>C129</f>
        <v>0</v>
      </c>
      <c r="D143" s="529">
        <f>D129</f>
        <v>0</v>
      </c>
      <c r="E143" s="529">
        <f>E129</f>
        <v>0</v>
      </c>
      <c r="F143" s="529">
        <f t="shared" si="58"/>
        <v>0</v>
      </c>
      <c r="G143" s="530">
        <f>G129</f>
        <v>90492.85113000001</v>
      </c>
      <c r="H143" s="530">
        <f>H129</f>
        <v>60328.55</v>
      </c>
      <c r="I143" s="530">
        <f>I129</f>
        <v>61552.218119999998</v>
      </c>
      <c r="J143" s="530">
        <f>J129</f>
        <v>102.02834001480228</v>
      </c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  <c r="EN143" s="13"/>
      <c r="EO143" s="13"/>
      <c r="EP143" s="13"/>
      <c r="EQ143" s="13"/>
      <c r="ER143" s="13"/>
      <c r="ES143" s="13"/>
      <c r="ET143" s="13"/>
      <c r="EU143" s="13"/>
      <c r="EV143" s="13"/>
      <c r="EW143" s="13"/>
      <c r="EX143" s="13"/>
      <c r="EY143" s="13"/>
      <c r="EZ143" s="13"/>
      <c r="FA143" s="13"/>
      <c r="FB143" s="13"/>
      <c r="FC143" s="13"/>
      <c r="FD143" s="13"/>
      <c r="FE143" s="13"/>
      <c r="FF143" s="13"/>
      <c r="FG143" s="13"/>
      <c r="FH143" s="13"/>
      <c r="FI143" s="13"/>
      <c r="FJ143" s="13"/>
      <c r="FK143" s="13"/>
      <c r="FL143" s="13"/>
      <c r="FM143" s="13"/>
      <c r="FN143" s="13"/>
      <c r="FO143" s="13"/>
      <c r="FP143" s="13"/>
      <c r="FQ143" s="13"/>
      <c r="FR143" s="13"/>
      <c r="FS143" s="13"/>
      <c r="FT143" s="13"/>
      <c r="FU143" s="13"/>
      <c r="FV143" s="13"/>
      <c r="FW143" s="13"/>
      <c r="FX143" s="13"/>
      <c r="FY143" s="13"/>
      <c r="FZ143" s="13"/>
      <c r="GA143" s="13"/>
      <c r="GB143" s="13"/>
      <c r="GC143" s="13"/>
      <c r="GD143" s="13"/>
      <c r="GE143" s="13"/>
      <c r="GF143" s="13"/>
      <c r="GG143" s="13"/>
      <c r="GH143" s="13"/>
      <c r="GI143" s="13"/>
      <c r="GJ143" s="13"/>
      <c r="GK143" s="13"/>
      <c r="GL143" s="13"/>
      <c r="GM143" s="13"/>
      <c r="GN143" s="13"/>
      <c r="GO143" s="13"/>
      <c r="GP143" s="13"/>
      <c r="GQ143" s="13"/>
      <c r="GR143" s="13"/>
      <c r="GS143" s="13"/>
      <c r="GT143" s="13"/>
      <c r="GU143" s="13"/>
      <c r="GV143" s="13"/>
      <c r="GW143" s="13"/>
      <c r="GX143" s="13"/>
      <c r="GY143" s="13"/>
      <c r="GZ143" s="13"/>
      <c r="HA143" s="13"/>
      <c r="HB143" s="13"/>
      <c r="HC143" s="13"/>
      <c r="HD143" s="13"/>
      <c r="HE143" s="13"/>
      <c r="HF143" s="13"/>
      <c r="HG143" s="13"/>
      <c r="HH143" s="13"/>
      <c r="HI143" s="13"/>
      <c r="HJ143" s="13"/>
      <c r="HK143" s="13"/>
      <c r="HL143" s="13"/>
      <c r="HM143" s="13"/>
      <c r="HN143" s="13"/>
      <c r="HO143" s="13"/>
      <c r="HP143" s="13"/>
      <c r="HQ143" s="13"/>
      <c r="HR143" s="13"/>
      <c r="HS143" s="13"/>
      <c r="HT143" s="13"/>
      <c r="HU143" s="13"/>
      <c r="HV143" s="13"/>
      <c r="HW143" s="13"/>
      <c r="HX143" s="13"/>
      <c r="HY143" s="13"/>
      <c r="HZ143" s="13"/>
      <c r="IA143" s="13"/>
      <c r="IB143" s="13"/>
      <c r="IC143" s="13"/>
      <c r="ID143" s="13"/>
      <c r="IE143" s="13"/>
      <c r="IF143" s="13"/>
      <c r="IG143" s="13"/>
      <c r="IH143" s="13"/>
      <c r="II143" s="13"/>
      <c r="IJ143" s="13"/>
      <c r="IK143" s="13"/>
      <c r="IL143" s="13"/>
      <c r="IM143" s="13"/>
    </row>
    <row r="144" spans="1:247" ht="15" customHeight="1" thickBot="1" x14ac:dyDescent="0.3">
      <c r="A144" s="18">
        <v>1</v>
      </c>
      <c r="B144" s="85" t="s">
        <v>5</v>
      </c>
      <c r="C144" s="3"/>
      <c r="D144" s="3"/>
      <c r="E144" s="162"/>
      <c r="F144" s="3"/>
      <c r="G144" s="488"/>
      <c r="H144" s="488"/>
      <c r="I144" s="489"/>
      <c r="J144" s="488"/>
    </row>
    <row r="145" spans="1:10" ht="31.5" customHeight="1" x14ac:dyDescent="0.25">
      <c r="A145" s="18">
        <v>1</v>
      </c>
      <c r="B145" s="127" t="s">
        <v>50</v>
      </c>
      <c r="C145" s="129"/>
      <c r="D145" s="129"/>
      <c r="E145" s="129"/>
      <c r="F145" s="129"/>
      <c r="G145" s="490"/>
      <c r="H145" s="490"/>
      <c r="I145" s="490"/>
      <c r="J145" s="490"/>
    </row>
    <row r="146" spans="1:10" s="35" customFormat="1" ht="27.95" customHeight="1" x14ac:dyDescent="0.25">
      <c r="A146" s="18">
        <v>1</v>
      </c>
      <c r="B146" s="72" t="s">
        <v>120</v>
      </c>
      <c r="C146" s="113">
        <f>SUM(C147:C150)</f>
        <v>4526</v>
      </c>
      <c r="D146" s="113">
        <f>SUM(D147:D150)</f>
        <v>3018</v>
      </c>
      <c r="E146" s="113">
        <f>SUM(E147:E150)</f>
        <v>2492</v>
      </c>
      <c r="F146" s="113">
        <f>E146/D146*100</f>
        <v>82.571239231278994</v>
      </c>
      <c r="G146" s="465">
        <f>SUM(G147:G150)</f>
        <v>6987.4005500000003</v>
      </c>
      <c r="H146" s="465">
        <f>SUM(H147:H150)</f>
        <v>4658.2700000000004</v>
      </c>
      <c r="I146" s="465">
        <f>SUM(I147:I150)</f>
        <v>4093.202730000005</v>
      </c>
      <c r="J146" s="465">
        <f t="shared" ref="J146:J158" si="61">I146/H146*100</f>
        <v>87.869589568659705</v>
      </c>
    </row>
    <row r="147" spans="1:10" s="35" customFormat="1" ht="27.95" customHeight="1" x14ac:dyDescent="0.25">
      <c r="A147" s="18">
        <v>1</v>
      </c>
      <c r="B147" s="71" t="s">
        <v>79</v>
      </c>
      <c r="C147" s="113">
        <v>3301</v>
      </c>
      <c r="D147" s="107">
        <f>ROUND(C147/12*$B$3,0)</f>
        <v>2201</v>
      </c>
      <c r="E147" s="113">
        <v>2000</v>
      </c>
      <c r="F147" s="113">
        <f>E147/D147*100</f>
        <v>90.867787369377552</v>
      </c>
      <c r="G147" s="728">
        <v>3896.5010000000002</v>
      </c>
      <c r="H147" s="638">
        <f t="shared" ref="H147:H150" si="62">ROUND(G147/12*$B$3,2)</f>
        <v>2597.67</v>
      </c>
      <c r="I147" s="465">
        <v>2791.4104900000052</v>
      </c>
      <c r="J147" s="465">
        <f t="shared" si="61"/>
        <v>107.45824103908524</v>
      </c>
    </row>
    <row r="148" spans="1:10" s="35" customFormat="1" ht="27.95" customHeight="1" x14ac:dyDescent="0.25">
      <c r="A148" s="18">
        <v>1</v>
      </c>
      <c r="B148" s="71" t="s">
        <v>80</v>
      </c>
      <c r="C148" s="113">
        <v>991</v>
      </c>
      <c r="D148" s="107">
        <f>ROUND(C148/12*$B$3,0)</f>
        <v>661</v>
      </c>
      <c r="E148" s="113">
        <v>383</v>
      </c>
      <c r="F148" s="113">
        <f>E148/D148*100</f>
        <v>57.942511346444782</v>
      </c>
      <c r="G148" s="728">
        <v>1555.3728299999998</v>
      </c>
      <c r="H148" s="638">
        <f t="shared" si="62"/>
        <v>1036.92</v>
      </c>
      <c r="I148" s="465">
        <v>630.49261000000001</v>
      </c>
      <c r="J148" s="465">
        <f t="shared" si="61"/>
        <v>60.804363885352771</v>
      </c>
    </row>
    <row r="149" spans="1:10" s="35" customFormat="1" ht="27.95" customHeight="1" x14ac:dyDescent="0.25">
      <c r="A149" s="18">
        <v>1</v>
      </c>
      <c r="B149" s="71" t="s">
        <v>114</v>
      </c>
      <c r="C149" s="113">
        <v>54</v>
      </c>
      <c r="D149" s="107">
        <f>ROUND(C149/12*$B$3,0)</f>
        <v>36</v>
      </c>
      <c r="E149" s="113">
        <v>49</v>
      </c>
      <c r="F149" s="113">
        <f>E149/D149*100</f>
        <v>136.11111111111111</v>
      </c>
      <c r="G149" s="465">
        <v>354.35232000000002</v>
      </c>
      <c r="H149" s="638">
        <f t="shared" si="62"/>
        <v>236.23</v>
      </c>
      <c r="I149" s="465">
        <v>321.54192</v>
      </c>
      <c r="J149" s="465">
        <f t="shared" si="61"/>
        <v>136.1139228717775</v>
      </c>
    </row>
    <row r="150" spans="1:10" s="35" customFormat="1" ht="27.95" customHeight="1" x14ac:dyDescent="0.25">
      <c r="A150" s="18">
        <v>1</v>
      </c>
      <c r="B150" s="71" t="s">
        <v>115</v>
      </c>
      <c r="C150" s="113">
        <v>180</v>
      </c>
      <c r="D150" s="107">
        <f>ROUND(C150/12*$B$3,0)</f>
        <v>120</v>
      </c>
      <c r="E150" s="113">
        <v>60</v>
      </c>
      <c r="F150" s="113">
        <f t="shared" ref="F150:F154" si="63">E150/D150*100</f>
        <v>50</v>
      </c>
      <c r="G150" s="465">
        <v>1181.1743999999999</v>
      </c>
      <c r="H150" s="638">
        <f t="shared" si="62"/>
        <v>787.45</v>
      </c>
      <c r="I150" s="465">
        <v>349.75770999999997</v>
      </c>
      <c r="J150" s="465">
        <f t="shared" si="61"/>
        <v>44.416497555400333</v>
      </c>
    </row>
    <row r="151" spans="1:10" s="35" customFormat="1" ht="27.95" customHeight="1" x14ac:dyDescent="0.25">
      <c r="A151" s="18">
        <v>1</v>
      </c>
      <c r="B151" s="72" t="s">
        <v>112</v>
      </c>
      <c r="C151" s="113">
        <f>SUM(C152:C154)</f>
        <v>6794</v>
      </c>
      <c r="D151" s="113">
        <f>SUM(D152:D154)</f>
        <v>4529</v>
      </c>
      <c r="E151" s="113">
        <f>SUM(E152:E154)</f>
        <v>2695</v>
      </c>
      <c r="F151" s="113">
        <f t="shared" si="63"/>
        <v>59.505409582689339</v>
      </c>
      <c r="G151" s="458">
        <f>SUM(G152:G154)</f>
        <v>14743.89975</v>
      </c>
      <c r="H151" s="458">
        <f>SUM(H152:H154)</f>
        <v>9829.2699999999986</v>
      </c>
      <c r="I151" s="458">
        <f>SUM(I152:I154)</f>
        <v>6095.3802400000013</v>
      </c>
      <c r="J151" s="465">
        <f t="shared" si="61"/>
        <v>62.01254253876435</v>
      </c>
    </row>
    <row r="152" spans="1:10" s="35" customFormat="1" ht="27.95" customHeight="1" x14ac:dyDescent="0.25">
      <c r="A152" s="18">
        <v>1</v>
      </c>
      <c r="B152" s="71" t="s">
        <v>108</v>
      </c>
      <c r="C152" s="113">
        <v>938</v>
      </c>
      <c r="D152" s="107">
        <f t="shared" ref="D152:D157" si="64">ROUND(C152/12*$B$3,0)</f>
        <v>625</v>
      </c>
      <c r="E152" s="113">
        <v>409</v>
      </c>
      <c r="F152" s="113">
        <f t="shared" si="63"/>
        <v>65.44</v>
      </c>
      <c r="G152" s="465">
        <f>1989038.38/1000</f>
        <v>1989.03838</v>
      </c>
      <c r="H152" s="638">
        <f t="shared" ref="H152:H157" si="65">ROUND(G152/12*$B$3,2)</f>
        <v>1326.03</v>
      </c>
      <c r="I152" s="465">
        <v>872.49319000000003</v>
      </c>
      <c r="J152" s="465">
        <f t="shared" si="61"/>
        <v>65.797394478254645</v>
      </c>
    </row>
    <row r="153" spans="1:10" s="35" customFormat="1" ht="55.5" customHeight="1" x14ac:dyDescent="0.25">
      <c r="A153" s="18">
        <v>1</v>
      </c>
      <c r="B153" s="71" t="s">
        <v>119</v>
      </c>
      <c r="C153" s="113">
        <v>5141</v>
      </c>
      <c r="D153" s="107">
        <f t="shared" si="64"/>
        <v>3427</v>
      </c>
      <c r="E153" s="113">
        <v>1527</v>
      </c>
      <c r="F153" s="113">
        <f t="shared" si="63"/>
        <v>44.557922381091338</v>
      </c>
      <c r="G153" s="465">
        <f>12054046.97/1000</f>
        <v>12054.046970000001</v>
      </c>
      <c r="H153" s="638">
        <f t="shared" si="65"/>
        <v>8036.03</v>
      </c>
      <c r="I153" s="465">
        <v>4409.4143500000009</v>
      </c>
      <c r="J153" s="465">
        <f t="shared" si="61"/>
        <v>54.870556107928927</v>
      </c>
    </row>
    <row r="154" spans="1:10" s="35" customFormat="1" ht="48" customHeight="1" x14ac:dyDescent="0.25">
      <c r="A154" s="18">
        <v>1</v>
      </c>
      <c r="B154" s="71" t="s">
        <v>109</v>
      </c>
      <c r="C154" s="113">
        <v>715</v>
      </c>
      <c r="D154" s="107">
        <f t="shared" si="64"/>
        <v>477</v>
      </c>
      <c r="E154" s="113">
        <v>759</v>
      </c>
      <c r="F154" s="113">
        <f t="shared" si="63"/>
        <v>159.11949685534591</v>
      </c>
      <c r="G154" s="465">
        <f>700814.4/1000</f>
        <v>700.81439999999998</v>
      </c>
      <c r="H154" s="638">
        <f t="shared" si="65"/>
        <v>467.21</v>
      </c>
      <c r="I154" s="465">
        <v>813.47269999999992</v>
      </c>
      <c r="J154" s="465">
        <f t="shared" si="61"/>
        <v>174.11286145416406</v>
      </c>
    </row>
    <row r="155" spans="1:10" s="35" customFormat="1" ht="27.95" customHeight="1" x14ac:dyDescent="0.25">
      <c r="A155" s="18"/>
      <c r="B155" s="667" t="s">
        <v>123</v>
      </c>
      <c r="C155" s="113">
        <v>13487</v>
      </c>
      <c r="D155" s="107">
        <f t="shared" si="64"/>
        <v>8991</v>
      </c>
      <c r="E155" s="113">
        <f>2966+E156+E157</f>
        <v>3576</v>
      </c>
      <c r="F155" s="113">
        <f>E155/D155*100</f>
        <v>39.773106439773102</v>
      </c>
      <c r="G155" s="465">
        <v>13125.818140000001</v>
      </c>
      <c r="H155" s="638">
        <f t="shared" si="65"/>
        <v>8750.5499999999993</v>
      </c>
      <c r="I155" s="465">
        <f>2812.27409+I156+I157</f>
        <v>3403.3237599999998</v>
      </c>
      <c r="J155" s="465">
        <f>I155/H155*100</f>
        <v>38.892684002719832</v>
      </c>
    </row>
    <row r="156" spans="1:10" s="35" customFormat="1" ht="27.95" customHeight="1" x14ac:dyDescent="0.25">
      <c r="A156" s="18"/>
      <c r="B156" s="667" t="s">
        <v>124</v>
      </c>
      <c r="C156" s="113">
        <v>700</v>
      </c>
      <c r="D156" s="107">
        <f t="shared" si="64"/>
        <v>467</v>
      </c>
      <c r="E156" s="113">
        <v>448</v>
      </c>
      <c r="F156" s="113">
        <f>E156/D156*100</f>
        <v>95.931477516059957</v>
      </c>
      <c r="G156" s="465">
        <f>$G$155/$C$155*C156</f>
        <v>681.25400000000002</v>
      </c>
      <c r="H156" s="638">
        <f t="shared" si="65"/>
        <v>454.17</v>
      </c>
      <c r="I156" s="465">
        <v>433.71629000000001</v>
      </c>
      <c r="J156" s="465">
        <f t="shared" ref="J156:J157" si="66">I156/H156*100</f>
        <v>95.496463879164196</v>
      </c>
    </row>
    <row r="157" spans="1:10" s="35" customFormat="1" ht="21.75" customHeight="1" thickBot="1" x14ac:dyDescent="0.3">
      <c r="A157" s="18"/>
      <c r="B157" s="667" t="s">
        <v>125</v>
      </c>
      <c r="C157" s="113">
        <v>300</v>
      </c>
      <c r="D157" s="107">
        <f t="shared" si="64"/>
        <v>200</v>
      </c>
      <c r="E157" s="113">
        <v>162</v>
      </c>
      <c r="F157" s="113">
        <f>E157/D157*100</f>
        <v>81</v>
      </c>
      <c r="G157" s="465">
        <f>$G$155/$C$155*C157</f>
        <v>291.96600000000001</v>
      </c>
      <c r="H157" s="638">
        <f t="shared" si="65"/>
        <v>194.64</v>
      </c>
      <c r="I157" s="465">
        <v>157.33338000000001</v>
      </c>
      <c r="J157" s="465">
        <f t="shared" si="66"/>
        <v>80.833014796547474</v>
      </c>
    </row>
    <row r="158" spans="1:10" s="35" customFormat="1" ht="15" customHeight="1" thickBot="1" x14ac:dyDescent="0.3">
      <c r="A158" s="18">
        <v>1</v>
      </c>
      <c r="B158" s="204" t="s">
        <v>3</v>
      </c>
      <c r="C158" s="24"/>
      <c r="D158" s="24"/>
      <c r="E158" s="24"/>
      <c r="F158" s="22"/>
      <c r="G158" s="469">
        <f>G151+G146+G155</f>
        <v>34857.118440000006</v>
      </c>
      <c r="H158" s="469">
        <f>H151+H146+H155</f>
        <v>23238.089999999997</v>
      </c>
      <c r="I158" s="469">
        <f>I151+I146+I155</f>
        <v>13591.906730000006</v>
      </c>
      <c r="J158" s="469">
        <f t="shared" si="61"/>
        <v>58.489775751793751</v>
      </c>
    </row>
    <row r="159" spans="1:10" s="35" customFormat="1" ht="15" customHeight="1" thickBot="1" x14ac:dyDescent="0.3">
      <c r="A159" s="18">
        <v>1</v>
      </c>
      <c r="C159" s="237"/>
      <c r="D159" s="237"/>
      <c r="E159" s="238"/>
      <c r="F159" s="532"/>
      <c r="G159" s="491"/>
      <c r="H159" s="491"/>
      <c r="I159" s="492"/>
      <c r="J159" s="491"/>
    </row>
    <row r="160" spans="1:10" ht="43.5" x14ac:dyDescent="0.25">
      <c r="A160" s="18">
        <v>1</v>
      </c>
      <c r="B160" s="314" t="s">
        <v>58</v>
      </c>
      <c r="C160" s="236"/>
      <c r="D160" s="236"/>
      <c r="E160" s="236"/>
      <c r="F160" s="236"/>
      <c r="G160" s="493"/>
      <c r="H160" s="493"/>
      <c r="I160" s="493"/>
      <c r="J160" s="493"/>
    </row>
    <row r="161" spans="1:10" s="35" customFormat="1" ht="30" customHeight="1" x14ac:dyDescent="0.25">
      <c r="A161" s="18">
        <v>1</v>
      </c>
      <c r="B161" s="72" t="s">
        <v>120</v>
      </c>
      <c r="C161" s="113">
        <f>SUM(C162:C163)</f>
        <v>1167</v>
      </c>
      <c r="D161" s="113">
        <f>SUM(D162:D163)</f>
        <v>778</v>
      </c>
      <c r="E161" s="113">
        <f>SUM(E162:E163)</f>
        <v>588</v>
      </c>
      <c r="F161" s="113">
        <f t="shared" ref="F161:F167" si="67">E161/D161*100</f>
        <v>75.578406169665811</v>
      </c>
      <c r="G161" s="465">
        <f>SUM(G162:G163)</f>
        <v>1768.9442899999999</v>
      </c>
      <c r="H161" s="465">
        <f>SUM(H162:H163)</f>
        <v>1179.29</v>
      </c>
      <c r="I161" s="465">
        <f>SUM(I162:I163)</f>
        <v>896.94066999999995</v>
      </c>
      <c r="J161" s="465">
        <f t="shared" ref="J161:J168" si="68">I161/H161*100</f>
        <v>76.057684708595858</v>
      </c>
    </row>
    <row r="162" spans="1:10" s="35" customFormat="1" ht="30" customHeight="1" x14ac:dyDescent="0.25">
      <c r="A162" s="18">
        <v>1</v>
      </c>
      <c r="B162" s="71" t="s">
        <v>79</v>
      </c>
      <c r="C162" s="113">
        <v>898</v>
      </c>
      <c r="D162" s="107">
        <f>ROUND(C162/12*$B$3,0)</f>
        <v>599</v>
      </c>
      <c r="E162" s="113">
        <v>568</v>
      </c>
      <c r="F162" s="113">
        <f t="shared" si="67"/>
        <v>94.824707846410689</v>
      </c>
      <c r="G162" s="465">
        <v>1253.1483999999998</v>
      </c>
      <c r="H162" s="638">
        <f t="shared" ref="H162:H163" si="69">ROUND(G162/12*$B$3,2)</f>
        <v>835.43</v>
      </c>
      <c r="I162" s="465">
        <v>861.36411999999996</v>
      </c>
      <c r="J162" s="465">
        <f t="shared" si="68"/>
        <v>103.10428402140215</v>
      </c>
    </row>
    <row r="163" spans="1:10" s="35" customFormat="1" ht="30" customHeight="1" x14ac:dyDescent="0.25">
      <c r="A163" s="18">
        <v>1</v>
      </c>
      <c r="B163" s="71" t="s">
        <v>80</v>
      </c>
      <c r="C163" s="113">
        <v>269</v>
      </c>
      <c r="D163" s="107">
        <f>ROUND(C163/12*$B$3,0)</f>
        <v>179</v>
      </c>
      <c r="E163" s="113">
        <v>20</v>
      </c>
      <c r="F163" s="113">
        <f t="shared" si="67"/>
        <v>11.173184357541899</v>
      </c>
      <c r="G163" s="465">
        <v>515.79588999999999</v>
      </c>
      <c r="H163" s="638">
        <f t="shared" si="69"/>
        <v>343.86</v>
      </c>
      <c r="I163" s="465">
        <v>35.576550000000005</v>
      </c>
      <c r="J163" s="465">
        <f t="shared" si="68"/>
        <v>10.346231024254058</v>
      </c>
    </row>
    <row r="164" spans="1:10" s="35" customFormat="1" ht="30" customHeight="1" x14ac:dyDescent="0.25">
      <c r="A164" s="18">
        <v>1</v>
      </c>
      <c r="B164" s="72" t="s">
        <v>112</v>
      </c>
      <c r="C164" s="113">
        <f>SUM(C165)</f>
        <v>200</v>
      </c>
      <c r="D164" s="113">
        <f t="shared" ref="D164:I164" si="70">SUM(D165)</f>
        <v>133</v>
      </c>
      <c r="E164" s="113">
        <f t="shared" si="70"/>
        <v>49</v>
      </c>
      <c r="F164" s="113">
        <f t="shared" si="67"/>
        <v>36.84210526315789</v>
      </c>
      <c r="G164" s="458">
        <f t="shared" si="70"/>
        <v>424.10199999999998</v>
      </c>
      <c r="H164" s="458">
        <f t="shared" si="70"/>
        <v>282.73</v>
      </c>
      <c r="I164" s="458">
        <f t="shared" si="70"/>
        <v>102.48481</v>
      </c>
      <c r="J164" s="465">
        <f t="shared" si="68"/>
        <v>36.248296961765632</v>
      </c>
    </row>
    <row r="165" spans="1:10" s="35" customFormat="1" ht="30" customHeight="1" x14ac:dyDescent="0.25">
      <c r="A165" s="18">
        <v>1</v>
      </c>
      <c r="B165" s="71" t="s">
        <v>108</v>
      </c>
      <c r="C165" s="113">
        <v>200</v>
      </c>
      <c r="D165" s="107">
        <f>ROUND(C165/12*$B$3,0)</f>
        <v>133</v>
      </c>
      <c r="E165" s="113">
        <v>49</v>
      </c>
      <c r="F165" s="113">
        <f t="shared" si="67"/>
        <v>36.84210526315789</v>
      </c>
      <c r="G165" s="465">
        <f>424102/1000</f>
        <v>424.10199999999998</v>
      </c>
      <c r="H165" s="638">
        <f t="shared" ref="H165:H167" si="71">ROUND(G165/12*$B$3,2)</f>
        <v>282.73</v>
      </c>
      <c r="I165" s="465">
        <v>102.48481</v>
      </c>
      <c r="J165" s="465">
        <f t="shared" si="68"/>
        <v>36.248296961765632</v>
      </c>
    </row>
    <row r="166" spans="1:10" s="35" customFormat="1" ht="30" customHeight="1" x14ac:dyDescent="0.25">
      <c r="A166" s="18"/>
      <c r="B166" s="658" t="s">
        <v>123</v>
      </c>
      <c r="C166" s="113">
        <v>1000</v>
      </c>
      <c r="D166" s="107">
        <f>ROUND(C166/12*$B$3,0)</f>
        <v>667</v>
      </c>
      <c r="E166" s="113">
        <f>352+E167</f>
        <v>534</v>
      </c>
      <c r="F166" s="113">
        <f t="shared" si="67"/>
        <v>80.059970014992501</v>
      </c>
      <c r="G166" s="465">
        <v>973.22</v>
      </c>
      <c r="H166" s="638">
        <f t="shared" si="71"/>
        <v>648.80999999999995</v>
      </c>
      <c r="I166" s="465">
        <f>337.09681+I167</f>
        <v>508.63088000000005</v>
      </c>
      <c r="J166" s="465">
        <f>I166/H166*100</f>
        <v>78.394426719686834</v>
      </c>
    </row>
    <row r="167" spans="1:10" s="35" customFormat="1" ht="30" customHeight="1" x14ac:dyDescent="0.25">
      <c r="A167" s="18"/>
      <c r="B167" s="658" t="s">
        <v>125</v>
      </c>
      <c r="C167" s="113">
        <v>300</v>
      </c>
      <c r="D167" s="107">
        <f>ROUND(C167/12*$B$3,0)</f>
        <v>200</v>
      </c>
      <c r="E167" s="113">
        <v>182</v>
      </c>
      <c r="F167" s="113">
        <f t="shared" si="67"/>
        <v>91</v>
      </c>
      <c r="G167" s="465">
        <v>291.96600000000001</v>
      </c>
      <c r="H167" s="638">
        <f t="shared" si="71"/>
        <v>194.64</v>
      </c>
      <c r="I167" s="465">
        <v>171.53407000000001</v>
      </c>
      <c r="J167" s="465">
        <f>I167/H167*100</f>
        <v>88.128889231401573</v>
      </c>
    </row>
    <row r="168" spans="1:10" s="35" customFormat="1" ht="17.25" customHeight="1" thickBot="1" x14ac:dyDescent="0.3">
      <c r="A168" s="18">
        <v>1</v>
      </c>
      <c r="B168" s="37" t="s">
        <v>3</v>
      </c>
      <c r="C168" s="24"/>
      <c r="D168" s="24"/>
      <c r="E168" s="24"/>
      <c r="F168" s="22"/>
      <c r="G168" s="484">
        <f>G161+G164+G166</f>
        <v>3166.2662899999996</v>
      </c>
      <c r="H168" s="484">
        <f>H161+H164+H166</f>
        <v>2110.83</v>
      </c>
      <c r="I168" s="484">
        <f>I161+I164+I166</f>
        <v>1508.05636</v>
      </c>
      <c r="J168" s="469">
        <f t="shared" si="68"/>
        <v>71.443761932509958</v>
      </c>
    </row>
    <row r="169" spans="1:10" x14ac:dyDescent="0.25">
      <c r="A169" s="18">
        <v>1</v>
      </c>
      <c r="B169" s="240" t="s">
        <v>95</v>
      </c>
      <c r="C169" s="241"/>
      <c r="D169" s="241"/>
      <c r="E169" s="241"/>
      <c r="F169" s="241"/>
      <c r="G169" s="494"/>
      <c r="H169" s="494"/>
      <c r="I169" s="494"/>
      <c r="J169" s="494"/>
    </row>
    <row r="170" spans="1:10" ht="27.95" customHeight="1" x14ac:dyDescent="0.25">
      <c r="A170" s="18">
        <v>1</v>
      </c>
      <c r="B170" s="244" t="s">
        <v>120</v>
      </c>
      <c r="C170" s="242">
        <f t="shared" ref="C170:E172" si="72">C161+C146</f>
        <v>5693</v>
      </c>
      <c r="D170" s="242">
        <f t="shared" si="72"/>
        <v>3796</v>
      </c>
      <c r="E170" s="242">
        <f t="shared" si="72"/>
        <v>3080</v>
      </c>
      <c r="F170" s="242">
        <f>E170/D170*100</f>
        <v>81.138040042149626</v>
      </c>
      <c r="G170" s="495">
        <f t="shared" ref="G170:I172" si="73">SUM(G161,G146)</f>
        <v>8756.3448399999997</v>
      </c>
      <c r="H170" s="495">
        <f t="shared" si="73"/>
        <v>5837.56</v>
      </c>
      <c r="I170" s="495">
        <f t="shared" si="73"/>
        <v>4990.1434000000045</v>
      </c>
      <c r="J170" s="495">
        <f>I170/H170*100</f>
        <v>85.483376616257544</v>
      </c>
    </row>
    <row r="171" spans="1:10" ht="27.95" customHeight="1" x14ac:dyDescent="0.25">
      <c r="A171" s="18">
        <v>1</v>
      </c>
      <c r="B171" s="245" t="s">
        <v>79</v>
      </c>
      <c r="C171" s="242">
        <f t="shared" si="72"/>
        <v>4199</v>
      </c>
      <c r="D171" s="242">
        <f t="shared" si="72"/>
        <v>2800</v>
      </c>
      <c r="E171" s="242">
        <f t="shared" si="72"/>
        <v>2568</v>
      </c>
      <c r="F171" s="242">
        <f>E171/D171*100</f>
        <v>91.714285714285708</v>
      </c>
      <c r="G171" s="495">
        <f t="shared" si="73"/>
        <v>5149.6494000000002</v>
      </c>
      <c r="H171" s="495">
        <f t="shared" si="73"/>
        <v>3433.1</v>
      </c>
      <c r="I171" s="495">
        <f t="shared" si="73"/>
        <v>3652.7746100000049</v>
      </c>
      <c r="J171" s="495">
        <f t="shared" ref="J171:J182" si="74">I171/H171*100</f>
        <v>106.39872447642087</v>
      </c>
    </row>
    <row r="172" spans="1:10" ht="27.95" customHeight="1" x14ac:dyDescent="0.25">
      <c r="A172" s="18">
        <v>1</v>
      </c>
      <c r="B172" s="245" t="s">
        <v>80</v>
      </c>
      <c r="C172" s="242">
        <f t="shared" si="72"/>
        <v>1260</v>
      </c>
      <c r="D172" s="242">
        <f t="shared" si="72"/>
        <v>840</v>
      </c>
      <c r="E172" s="242">
        <f t="shared" si="72"/>
        <v>403</v>
      </c>
      <c r="F172" s="242">
        <f>E172/D172*100</f>
        <v>47.976190476190474</v>
      </c>
      <c r="G172" s="495">
        <f t="shared" si="73"/>
        <v>2071.1687199999997</v>
      </c>
      <c r="H172" s="495">
        <f t="shared" si="73"/>
        <v>1380.7800000000002</v>
      </c>
      <c r="I172" s="495">
        <f t="shared" si="73"/>
        <v>666.06916000000001</v>
      </c>
      <c r="J172" s="495">
        <f t="shared" si="74"/>
        <v>48.238615854806696</v>
      </c>
    </row>
    <row r="173" spans="1:10" ht="27.95" customHeight="1" x14ac:dyDescent="0.25">
      <c r="A173" s="18">
        <v>1</v>
      </c>
      <c r="B173" s="245" t="s">
        <v>114</v>
      </c>
      <c r="C173" s="242">
        <f t="shared" ref="C173:E174" si="75">C149</f>
        <v>54</v>
      </c>
      <c r="D173" s="242">
        <f t="shared" si="75"/>
        <v>36</v>
      </c>
      <c r="E173" s="242">
        <f t="shared" si="75"/>
        <v>49</v>
      </c>
      <c r="F173" s="242">
        <f>E173/D173*100</f>
        <v>136.11111111111111</v>
      </c>
      <c r="G173" s="495">
        <f t="shared" ref="G173:I174" si="76">G149</f>
        <v>354.35232000000002</v>
      </c>
      <c r="H173" s="495">
        <f t="shared" si="76"/>
        <v>236.23</v>
      </c>
      <c r="I173" s="495">
        <f t="shared" si="76"/>
        <v>321.54192</v>
      </c>
      <c r="J173" s="495">
        <f t="shared" si="74"/>
        <v>136.1139228717775</v>
      </c>
    </row>
    <row r="174" spans="1:10" ht="27.95" customHeight="1" x14ac:dyDescent="0.25">
      <c r="A174" s="18">
        <v>1</v>
      </c>
      <c r="B174" s="245" t="s">
        <v>115</v>
      </c>
      <c r="C174" s="242">
        <f t="shared" si="75"/>
        <v>180</v>
      </c>
      <c r="D174" s="242">
        <f t="shared" si="75"/>
        <v>120</v>
      </c>
      <c r="E174" s="242">
        <f t="shared" si="75"/>
        <v>60</v>
      </c>
      <c r="F174" s="242">
        <f>E174/D174*100</f>
        <v>50</v>
      </c>
      <c r="G174" s="495">
        <f t="shared" si="76"/>
        <v>1181.1743999999999</v>
      </c>
      <c r="H174" s="495">
        <f t="shared" si="76"/>
        <v>787.45</v>
      </c>
      <c r="I174" s="495">
        <f t="shared" si="76"/>
        <v>349.75770999999997</v>
      </c>
      <c r="J174" s="495">
        <f t="shared" si="74"/>
        <v>44.416497555400333</v>
      </c>
    </row>
    <row r="175" spans="1:10" ht="27.95" customHeight="1" x14ac:dyDescent="0.25">
      <c r="A175" s="18">
        <v>1</v>
      </c>
      <c r="B175" s="244" t="s">
        <v>112</v>
      </c>
      <c r="C175" s="242">
        <f t="shared" ref="C175:I176" si="77">SUM(C164,C151)</f>
        <v>6994</v>
      </c>
      <c r="D175" s="242">
        <f t="shared" si="77"/>
        <v>4662</v>
      </c>
      <c r="E175" s="242">
        <f t="shared" si="77"/>
        <v>2744</v>
      </c>
      <c r="F175" s="242">
        <f t="shared" si="77"/>
        <v>96.347514845847229</v>
      </c>
      <c r="G175" s="495">
        <f t="shared" si="77"/>
        <v>15168.001750000001</v>
      </c>
      <c r="H175" s="495">
        <f t="shared" si="77"/>
        <v>10111.999999999998</v>
      </c>
      <c r="I175" s="495">
        <f t="shared" si="77"/>
        <v>6197.8650500000012</v>
      </c>
      <c r="J175" s="495">
        <f t="shared" si="74"/>
        <v>61.292178105221538</v>
      </c>
    </row>
    <row r="176" spans="1:10" ht="27.95" customHeight="1" x14ac:dyDescent="0.25">
      <c r="A176" s="18">
        <v>1</v>
      </c>
      <c r="B176" s="245" t="s">
        <v>108</v>
      </c>
      <c r="C176" s="242">
        <f t="shared" si="77"/>
        <v>1138</v>
      </c>
      <c r="D176" s="242">
        <f t="shared" si="77"/>
        <v>758</v>
      </c>
      <c r="E176" s="242">
        <f t="shared" si="77"/>
        <v>458</v>
      </c>
      <c r="F176" s="242">
        <f t="shared" si="77"/>
        <v>102.28210526315789</v>
      </c>
      <c r="G176" s="495">
        <f t="shared" si="77"/>
        <v>2413.1403799999998</v>
      </c>
      <c r="H176" s="495">
        <f t="shared" si="77"/>
        <v>1608.76</v>
      </c>
      <c r="I176" s="495">
        <f t="shared" si="77"/>
        <v>974.97800000000007</v>
      </c>
      <c r="J176" s="495">
        <f t="shared" si="74"/>
        <v>60.604316367885822</v>
      </c>
    </row>
    <row r="177" spans="1:10" ht="60" x14ac:dyDescent="0.25">
      <c r="A177" s="18">
        <v>1</v>
      </c>
      <c r="B177" s="245" t="s">
        <v>81</v>
      </c>
      <c r="C177" s="242">
        <f t="shared" ref="C177:I178" si="78">C153</f>
        <v>5141</v>
      </c>
      <c r="D177" s="242">
        <f t="shared" si="78"/>
        <v>3427</v>
      </c>
      <c r="E177" s="242">
        <f t="shared" si="78"/>
        <v>1527</v>
      </c>
      <c r="F177" s="242">
        <f t="shared" si="78"/>
        <v>44.557922381091338</v>
      </c>
      <c r="G177" s="495">
        <f t="shared" si="78"/>
        <v>12054.046970000001</v>
      </c>
      <c r="H177" s="495">
        <f t="shared" si="78"/>
        <v>8036.03</v>
      </c>
      <c r="I177" s="495">
        <f t="shared" si="78"/>
        <v>4409.4143500000009</v>
      </c>
      <c r="J177" s="495">
        <f t="shared" si="74"/>
        <v>54.870556107928927</v>
      </c>
    </row>
    <row r="178" spans="1:10" ht="45" x14ac:dyDescent="0.25">
      <c r="A178" s="18">
        <v>1</v>
      </c>
      <c r="B178" s="245" t="s">
        <v>109</v>
      </c>
      <c r="C178" s="242">
        <f t="shared" si="78"/>
        <v>715</v>
      </c>
      <c r="D178" s="242">
        <f t="shared" si="78"/>
        <v>477</v>
      </c>
      <c r="E178" s="242">
        <f t="shared" si="78"/>
        <v>759</v>
      </c>
      <c r="F178" s="242">
        <f t="shared" si="78"/>
        <v>159.11949685534591</v>
      </c>
      <c r="G178" s="495">
        <f t="shared" si="78"/>
        <v>700.81439999999998</v>
      </c>
      <c r="H178" s="495">
        <f t="shared" si="78"/>
        <v>467.21</v>
      </c>
      <c r="I178" s="495">
        <f t="shared" si="78"/>
        <v>813.47269999999992</v>
      </c>
      <c r="J178" s="495">
        <f t="shared" si="74"/>
        <v>174.11286145416406</v>
      </c>
    </row>
    <row r="179" spans="1:10" ht="35.25" customHeight="1" x14ac:dyDescent="0.25">
      <c r="A179" s="18"/>
      <c r="B179" s="677" t="s">
        <v>123</v>
      </c>
      <c r="C179" s="678">
        <f>SUM(C166,C155)</f>
        <v>14487</v>
      </c>
      <c r="D179" s="678">
        <f>SUM(D166,D155)</f>
        <v>9658</v>
      </c>
      <c r="E179" s="678">
        <f>SUM(E166,E155)</f>
        <v>4110</v>
      </c>
      <c r="F179" s="307">
        <f>F155</f>
        <v>39.773106439773102</v>
      </c>
      <c r="G179" s="678">
        <f>SUM(G166,G155)</f>
        <v>14099.038140000001</v>
      </c>
      <c r="H179" s="678">
        <f>SUM(H166,H155)</f>
        <v>9399.3599999999988</v>
      </c>
      <c r="I179" s="678">
        <f>SUM(I166,I155)</f>
        <v>3911.9546399999999</v>
      </c>
      <c r="J179" s="496">
        <f t="shared" si="74"/>
        <v>41.619372382800535</v>
      </c>
    </row>
    <row r="180" spans="1:10" ht="35.25" customHeight="1" x14ac:dyDescent="0.25">
      <c r="A180" s="18"/>
      <c r="B180" s="677" t="s">
        <v>124</v>
      </c>
      <c r="C180" s="678">
        <f>SUM(C156)</f>
        <v>700</v>
      </c>
      <c r="D180" s="678">
        <f>SUM(D156)</f>
        <v>467</v>
      </c>
      <c r="E180" s="678">
        <f>SUM(E156)</f>
        <v>448</v>
      </c>
      <c r="F180" s="307">
        <f>F156</f>
        <v>95.931477516059957</v>
      </c>
      <c r="G180" s="678">
        <f>SUM(G156)</f>
        <v>681.25400000000002</v>
      </c>
      <c r="H180" s="678">
        <f>SUM(H156)</f>
        <v>454.17</v>
      </c>
      <c r="I180" s="678">
        <f>SUM(I156)</f>
        <v>433.71629000000001</v>
      </c>
      <c r="J180" s="496"/>
    </row>
    <row r="181" spans="1:10" ht="35.25" customHeight="1" x14ac:dyDescent="0.25">
      <c r="A181" s="18"/>
      <c r="B181" s="677" t="s">
        <v>125</v>
      </c>
      <c r="C181" s="678">
        <f t="shared" ref="C181:D181" si="79">SUM(C167,C157)</f>
        <v>600</v>
      </c>
      <c r="D181" s="678">
        <f t="shared" si="79"/>
        <v>400</v>
      </c>
      <c r="E181" s="678">
        <f>SUM(E167,E157)</f>
        <v>344</v>
      </c>
      <c r="F181" s="307">
        <f>F157</f>
        <v>81</v>
      </c>
      <c r="G181" s="678">
        <f t="shared" ref="G181:I181" si="80">SUM(G167,G157)</f>
        <v>583.93200000000002</v>
      </c>
      <c r="H181" s="678">
        <f t="shared" si="80"/>
        <v>389.28</v>
      </c>
      <c r="I181" s="678">
        <f t="shared" si="80"/>
        <v>328.86745000000002</v>
      </c>
      <c r="J181" s="496"/>
    </row>
    <row r="182" spans="1:10" x14ac:dyDescent="0.25">
      <c r="A182" s="18">
        <v>1</v>
      </c>
      <c r="B182" s="308" t="s">
        <v>106</v>
      </c>
      <c r="C182" s="309">
        <f t="shared" ref="C182:I182" si="81">SUM(C168,C158)</f>
        <v>0</v>
      </c>
      <c r="D182" s="309">
        <f t="shared" si="81"/>
        <v>0</v>
      </c>
      <c r="E182" s="309">
        <f t="shared" si="81"/>
        <v>0</v>
      </c>
      <c r="F182" s="309">
        <f t="shared" si="81"/>
        <v>0</v>
      </c>
      <c r="G182" s="497">
        <f t="shared" si="81"/>
        <v>38023.384730000005</v>
      </c>
      <c r="H182" s="497">
        <f t="shared" si="81"/>
        <v>25348.92</v>
      </c>
      <c r="I182" s="497">
        <f t="shared" si="81"/>
        <v>15099.963090000007</v>
      </c>
      <c r="J182" s="497">
        <f t="shared" si="74"/>
        <v>59.568467177299887</v>
      </c>
    </row>
    <row r="183" spans="1:10" ht="15.75" thickBot="1" x14ac:dyDescent="0.3">
      <c r="A183" s="18">
        <v>1</v>
      </c>
      <c r="B183" s="239" t="s">
        <v>6</v>
      </c>
      <c r="C183" s="36"/>
      <c r="D183" s="36"/>
      <c r="E183" s="163"/>
      <c r="F183" s="36"/>
      <c r="G183" s="498"/>
      <c r="H183" s="498"/>
      <c r="I183" s="499"/>
      <c r="J183" s="498"/>
    </row>
    <row r="184" spans="1:10" ht="36.75" customHeight="1" x14ac:dyDescent="0.25">
      <c r="A184" s="18">
        <v>1</v>
      </c>
      <c r="B184" s="128" t="s">
        <v>53</v>
      </c>
      <c r="C184" s="164"/>
      <c r="D184" s="164"/>
      <c r="E184" s="164"/>
      <c r="F184" s="164"/>
      <c r="G184" s="457"/>
      <c r="H184" s="457"/>
      <c r="I184" s="457"/>
      <c r="J184" s="457"/>
    </row>
    <row r="185" spans="1:10" s="35" customFormat="1" ht="30" x14ac:dyDescent="0.25">
      <c r="A185" s="18">
        <v>1</v>
      </c>
      <c r="B185" s="72" t="s">
        <v>120</v>
      </c>
      <c r="C185" s="113">
        <f>SUM(C186:C189)</f>
        <v>4185</v>
      </c>
      <c r="D185" s="113">
        <f>SUM(D186:D189)</f>
        <v>2789</v>
      </c>
      <c r="E185" s="113">
        <f>SUM(E186:E189)</f>
        <v>2259</v>
      </c>
      <c r="F185" s="113">
        <f>E185/D185*100</f>
        <v>80.996773036930804</v>
      </c>
      <c r="G185" s="465">
        <f>SUM(G186:G189)</f>
        <v>7005.2602500000003</v>
      </c>
      <c r="H185" s="465">
        <f>SUM(H186:H189)</f>
        <v>4670.1799999999994</v>
      </c>
      <c r="I185" s="465">
        <f>SUM(I186:I189)</f>
        <v>4292.4242899999999</v>
      </c>
      <c r="J185" s="465">
        <f t="shared" ref="J185:J196" si="82">I185/H185*100</f>
        <v>91.91132440291382</v>
      </c>
    </row>
    <row r="186" spans="1:10" s="35" customFormat="1" ht="30" x14ac:dyDescent="0.25">
      <c r="A186" s="18">
        <v>1</v>
      </c>
      <c r="B186" s="71" t="s">
        <v>79</v>
      </c>
      <c r="C186" s="113">
        <v>3071</v>
      </c>
      <c r="D186" s="107">
        <f t="shared" ref="D186:D193" si="83">ROUND(C186/12*$B$3,0)</f>
        <v>2047</v>
      </c>
      <c r="E186" s="113">
        <v>2093</v>
      </c>
      <c r="F186" s="113">
        <f>E186/D186*100</f>
        <v>102.24719101123596</v>
      </c>
      <c r="G186" s="465">
        <v>4181.0510000000004</v>
      </c>
      <c r="H186" s="638">
        <f t="shared" ref="H186:H189" si="84">ROUND(G186/12*$B$3,2)</f>
        <v>2787.37</v>
      </c>
      <c r="I186" s="465">
        <v>3273.26316</v>
      </c>
      <c r="J186" s="465">
        <f t="shared" si="82"/>
        <v>117.43195772358889</v>
      </c>
    </row>
    <row r="187" spans="1:10" s="35" customFormat="1" ht="35.1" customHeight="1" x14ac:dyDescent="0.25">
      <c r="A187" s="18">
        <v>1</v>
      </c>
      <c r="B187" s="71" t="s">
        <v>80</v>
      </c>
      <c r="C187" s="113">
        <v>921</v>
      </c>
      <c r="D187" s="107">
        <f t="shared" si="83"/>
        <v>614</v>
      </c>
      <c r="E187" s="113">
        <v>0</v>
      </c>
      <c r="F187" s="113">
        <f>E187/D187*100</f>
        <v>0</v>
      </c>
      <c r="G187" s="465">
        <v>1557.7278099999999</v>
      </c>
      <c r="H187" s="638">
        <f t="shared" si="84"/>
        <v>1038.49</v>
      </c>
      <c r="I187" s="465">
        <v>-63.581899999999997</v>
      </c>
      <c r="J187" s="465">
        <f t="shared" si="82"/>
        <v>-6.1225336787065832</v>
      </c>
    </row>
    <row r="188" spans="1:10" s="35" customFormat="1" ht="45" x14ac:dyDescent="0.25">
      <c r="A188" s="18">
        <v>1</v>
      </c>
      <c r="B188" s="71" t="s">
        <v>114</v>
      </c>
      <c r="C188" s="113">
        <v>20</v>
      </c>
      <c r="D188" s="107">
        <f t="shared" si="83"/>
        <v>13</v>
      </c>
      <c r="E188" s="113">
        <v>21</v>
      </c>
      <c r="F188" s="113">
        <f>E188/D188*100</f>
        <v>161.53846153846155</v>
      </c>
      <c r="G188" s="465">
        <v>131.24160000000001</v>
      </c>
      <c r="H188" s="638">
        <f t="shared" si="84"/>
        <v>87.49</v>
      </c>
      <c r="I188" s="465">
        <v>137.80367999999999</v>
      </c>
      <c r="J188" s="465">
        <f t="shared" si="82"/>
        <v>157.50792090524629</v>
      </c>
    </row>
    <row r="189" spans="1:10" s="35" customFormat="1" ht="30" x14ac:dyDescent="0.25">
      <c r="A189" s="18">
        <v>1</v>
      </c>
      <c r="B189" s="71" t="s">
        <v>115</v>
      </c>
      <c r="C189" s="113">
        <v>173</v>
      </c>
      <c r="D189" s="107">
        <f t="shared" si="83"/>
        <v>115</v>
      </c>
      <c r="E189" s="113">
        <v>145</v>
      </c>
      <c r="F189" s="113">
        <f>E189/D189*100</f>
        <v>126.08695652173914</v>
      </c>
      <c r="G189" s="465">
        <v>1135.2398400000002</v>
      </c>
      <c r="H189" s="638">
        <f t="shared" si="84"/>
        <v>756.83</v>
      </c>
      <c r="I189" s="465">
        <v>944.93934999999999</v>
      </c>
      <c r="J189" s="465">
        <f>I189/H189*100</f>
        <v>124.8549013649036</v>
      </c>
    </row>
    <row r="190" spans="1:10" s="35" customFormat="1" ht="30" x14ac:dyDescent="0.25">
      <c r="A190" s="18">
        <v>1</v>
      </c>
      <c r="B190" s="72" t="s">
        <v>112</v>
      </c>
      <c r="C190" s="113">
        <f>SUM(C191:C193)</f>
        <v>4350</v>
      </c>
      <c r="D190" s="113">
        <f>SUM(D191:D193)</f>
        <v>2900</v>
      </c>
      <c r="E190" s="113">
        <f>SUM(E191:E193)</f>
        <v>1378</v>
      </c>
      <c r="F190" s="113">
        <f t="shared" ref="F190:F193" si="85">E190/D190*100</f>
        <v>47.517241379310342</v>
      </c>
      <c r="G190" s="458">
        <f>SUM(G191:G193)</f>
        <v>10640.283499999998</v>
      </c>
      <c r="H190" s="458">
        <f>SUM(H191:H193)</f>
        <v>7093.52</v>
      </c>
      <c r="I190" s="458">
        <f>SUM(I191:I193)</f>
        <v>2705.9679099999998</v>
      </c>
      <c r="J190" s="465">
        <f t="shared" si="82"/>
        <v>38.147039974511941</v>
      </c>
    </row>
    <row r="191" spans="1:10" s="35" customFormat="1" ht="30" x14ac:dyDescent="0.25">
      <c r="A191" s="18">
        <v>1</v>
      </c>
      <c r="B191" s="71" t="s">
        <v>108</v>
      </c>
      <c r="C191" s="113">
        <v>150</v>
      </c>
      <c r="D191" s="107">
        <f t="shared" si="83"/>
        <v>100</v>
      </c>
      <c r="E191" s="113">
        <v>46</v>
      </c>
      <c r="F191" s="113">
        <f t="shared" si="85"/>
        <v>46</v>
      </c>
      <c r="G191" s="465">
        <f>318076.5/1000</f>
        <v>318.07650000000001</v>
      </c>
      <c r="H191" s="638">
        <f t="shared" ref="H191:H195" si="86">ROUND(G191/12*$B$3,2)</f>
        <v>212.05</v>
      </c>
      <c r="I191" s="465">
        <v>2.9668500000000204</v>
      </c>
      <c r="J191" s="465">
        <f t="shared" si="82"/>
        <v>1.3991275642537233</v>
      </c>
    </row>
    <row r="192" spans="1:10" s="35" customFormat="1" ht="64.5" customHeight="1" x14ac:dyDescent="0.25">
      <c r="A192" s="18">
        <v>1</v>
      </c>
      <c r="B192" s="71" t="s">
        <v>119</v>
      </c>
      <c r="C192" s="113">
        <v>3500</v>
      </c>
      <c r="D192" s="107">
        <f t="shared" si="83"/>
        <v>2333</v>
      </c>
      <c r="E192" s="113">
        <v>703</v>
      </c>
      <c r="F192" s="113">
        <f t="shared" si="85"/>
        <v>30.132876125160735</v>
      </c>
      <c r="G192" s="465">
        <f>9636095/1000</f>
        <v>9636.0949999999993</v>
      </c>
      <c r="H192" s="638">
        <f t="shared" si="86"/>
        <v>6424.06</v>
      </c>
      <c r="I192" s="465">
        <v>2130.75839</v>
      </c>
      <c r="J192" s="465">
        <f t="shared" si="82"/>
        <v>33.168407362322263</v>
      </c>
    </row>
    <row r="193" spans="1:247" s="35" customFormat="1" ht="45" x14ac:dyDescent="0.25">
      <c r="A193" s="18">
        <v>1</v>
      </c>
      <c r="B193" s="71" t="s">
        <v>109</v>
      </c>
      <c r="C193" s="113">
        <v>700</v>
      </c>
      <c r="D193" s="107">
        <f t="shared" si="83"/>
        <v>467</v>
      </c>
      <c r="E193" s="113">
        <v>629</v>
      </c>
      <c r="F193" s="113">
        <f t="shared" si="85"/>
        <v>134.68950749464668</v>
      </c>
      <c r="G193" s="465">
        <f>686112/1000</f>
        <v>686.11199999999997</v>
      </c>
      <c r="H193" s="638">
        <f t="shared" si="86"/>
        <v>457.41</v>
      </c>
      <c r="I193" s="465">
        <v>572.24267000000009</v>
      </c>
      <c r="J193" s="465">
        <f t="shared" si="82"/>
        <v>125.10497584224221</v>
      </c>
    </row>
    <row r="194" spans="1:247" s="35" customFormat="1" ht="35.1" customHeight="1" x14ac:dyDescent="0.25">
      <c r="A194" s="18"/>
      <c r="B194" s="658" t="s">
        <v>123</v>
      </c>
      <c r="C194" s="113">
        <v>6950</v>
      </c>
      <c r="D194" s="107">
        <f>ROUND(C194/12*$B$3,0)</f>
        <v>4633</v>
      </c>
      <c r="E194" s="113">
        <f>3324+E195</f>
        <v>4870</v>
      </c>
      <c r="F194" s="113">
        <f>E194/D194*100</f>
        <v>105.1154759335204</v>
      </c>
      <c r="G194" s="465">
        <v>6763.8789999999999</v>
      </c>
      <c r="H194" s="638">
        <f t="shared" si="86"/>
        <v>4509.25</v>
      </c>
      <c r="I194" s="465">
        <f>3213.43532+I195</f>
        <v>4709.8475200000003</v>
      </c>
      <c r="J194" s="465">
        <f>I194/H194*100</f>
        <v>104.4485783666907</v>
      </c>
    </row>
    <row r="195" spans="1:247" s="35" customFormat="1" ht="21" customHeight="1" x14ac:dyDescent="0.25">
      <c r="A195" s="18"/>
      <c r="B195" s="658" t="s">
        <v>125</v>
      </c>
      <c r="C195" s="113">
        <v>1850</v>
      </c>
      <c r="D195" s="107">
        <f>ROUND(C195/12*$B$3,0)</f>
        <v>1233</v>
      </c>
      <c r="E195" s="113">
        <v>1546</v>
      </c>
      <c r="F195" s="115">
        <f>E195/D195*100</f>
        <v>125.38523925385239</v>
      </c>
      <c r="G195" s="465">
        <v>1800.4569999999999</v>
      </c>
      <c r="H195" s="638">
        <f t="shared" si="86"/>
        <v>1200.3</v>
      </c>
      <c r="I195" s="465">
        <v>1496.4122000000002</v>
      </c>
      <c r="J195" s="465">
        <f>I195/H195*100</f>
        <v>124.66984920436559</v>
      </c>
    </row>
    <row r="196" spans="1:247" s="13" customFormat="1" ht="15.75" thickBot="1" x14ac:dyDescent="0.3">
      <c r="A196" s="18">
        <v>1</v>
      </c>
      <c r="B196" s="12" t="s">
        <v>3</v>
      </c>
      <c r="C196" s="24"/>
      <c r="D196" s="24"/>
      <c r="E196" s="24"/>
      <c r="F196" s="24"/>
      <c r="G196" s="469">
        <f>G190+G185+G194</f>
        <v>24409.422749999998</v>
      </c>
      <c r="H196" s="469">
        <f>H190+H185+H194</f>
        <v>16272.95</v>
      </c>
      <c r="I196" s="469">
        <f>I190+I185+I194</f>
        <v>11708.239720000001</v>
      </c>
      <c r="J196" s="469">
        <f t="shared" si="82"/>
        <v>71.94909171354918</v>
      </c>
    </row>
    <row r="197" spans="1:247" ht="15" customHeight="1" x14ac:dyDescent="0.25">
      <c r="A197" s="18">
        <v>1</v>
      </c>
      <c r="B197" s="254" t="s">
        <v>96</v>
      </c>
      <c r="C197" s="255"/>
      <c r="D197" s="255"/>
      <c r="E197" s="255"/>
      <c r="F197" s="255"/>
      <c r="G197" s="500"/>
      <c r="H197" s="500"/>
      <c r="I197" s="500"/>
      <c r="J197" s="500"/>
    </row>
    <row r="198" spans="1:247" s="10" customFormat="1" ht="30" x14ac:dyDescent="0.25">
      <c r="A198" s="18">
        <v>1</v>
      </c>
      <c r="B198" s="208" t="s">
        <v>120</v>
      </c>
      <c r="C198" s="324">
        <f t="shared" ref="C198:J206" si="87">C185</f>
        <v>4185</v>
      </c>
      <c r="D198" s="324">
        <f t="shared" si="87"/>
        <v>2789</v>
      </c>
      <c r="E198" s="324">
        <f t="shared" si="87"/>
        <v>2259</v>
      </c>
      <c r="F198" s="324">
        <f t="shared" si="87"/>
        <v>80.996773036930804</v>
      </c>
      <c r="G198" s="501">
        <f t="shared" si="87"/>
        <v>7005.2602500000003</v>
      </c>
      <c r="H198" s="501">
        <f t="shared" si="87"/>
        <v>4670.1799999999994</v>
      </c>
      <c r="I198" s="501">
        <f t="shared" si="87"/>
        <v>4292.4242899999999</v>
      </c>
      <c r="J198" s="501">
        <f t="shared" si="87"/>
        <v>91.91132440291382</v>
      </c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  <c r="DH198" s="13"/>
      <c r="DI198" s="13"/>
      <c r="DJ198" s="13"/>
      <c r="DK198" s="13"/>
      <c r="DL198" s="13"/>
      <c r="DM198" s="13"/>
      <c r="DN198" s="13"/>
      <c r="DO198" s="13"/>
      <c r="DP198" s="13"/>
      <c r="DQ198" s="13"/>
      <c r="DR198" s="13"/>
      <c r="DS198" s="13"/>
      <c r="DT198" s="13"/>
      <c r="DU198" s="13"/>
      <c r="DV198" s="13"/>
      <c r="DW198" s="13"/>
      <c r="DX198" s="13"/>
      <c r="DY198" s="13"/>
      <c r="DZ198" s="13"/>
      <c r="EA198" s="13"/>
      <c r="EB198" s="13"/>
      <c r="EC198" s="13"/>
      <c r="ED198" s="13"/>
      <c r="EE198" s="13"/>
      <c r="EF198" s="13"/>
      <c r="EG198" s="13"/>
      <c r="EH198" s="13"/>
      <c r="EI198" s="13"/>
      <c r="EJ198" s="13"/>
      <c r="EK198" s="13"/>
      <c r="EL198" s="13"/>
      <c r="EM198" s="13"/>
      <c r="EN198" s="13"/>
      <c r="EO198" s="13"/>
      <c r="EP198" s="13"/>
      <c r="EQ198" s="13"/>
      <c r="ER198" s="13"/>
      <c r="ES198" s="13"/>
      <c r="ET198" s="13"/>
      <c r="EU198" s="13"/>
      <c r="EV198" s="13"/>
      <c r="EW198" s="13"/>
      <c r="EX198" s="13"/>
      <c r="EY198" s="13"/>
      <c r="EZ198" s="13"/>
      <c r="FA198" s="13"/>
      <c r="FB198" s="13"/>
      <c r="FC198" s="13"/>
      <c r="FD198" s="13"/>
      <c r="FE198" s="13"/>
      <c r="FF198" s="13"/>
      <c r="FG198" s="13"/>
      <c r="FH198" s="13"/>
      <c r="FI198" s="13"/>
      <c r="FJ198" s="13"/>
      <c r="FK198" s="13"/>
      <c r="FL198" s="13"/>
      <c r="FM198" s="13"/>
      <c r="FN198" s="13"/>
      <c r="FO198" s="13"/>
      <c r="FP198" s="13"/>
      <c r="FQ198" s="13"/>
      <c r="FR198" s="13"/>
      <c r="FS198" s="13"/>
      <c r="FT198" s="13"/>
      <c r="FU198" s="13"/>
      <c r="FV198" s="13"/>
      <c r="FW198" s="13"/>
      <c r="FX198" s="13"/>
      <c r="FY198" s="13"/>
      <c r="FZ198" s="13"/>
      <c r="GA198" s="13"/>
      <c r="GB198" s="13"/>
      <c r="GC198" s="13"/>
      <c r="GD198" s="13"/>
      <c r="GE198" s="13"/>
      <c r="GF198" s="13"/>
      <c r="GG198" s="13"/>
      <c r="GH198" s="13"/>
      <c r="GI198" s="13"/>
      <c r="GJ198" s="13"/>
      <c r="GK198" s="13"/>
      <c r="GL198" s="13"/>
      <c r="GM198" s="13"/>
      <c r="GN198" s="13"/>
      <c r="GO198" s="13"/>
      <c r="GP198" s="13"/>
      <c r="GQ198" s="13"/>
      <c r="GR198" s="13"/>
      <c r="GS198" s="13"/>
      <c r="GT198" s="13"/>
      <c r="GU198" s="13"/>
      <c r="GV198" s="13"/>
      <c r="GW198" s="13"/>
      <c r="GX198" s="13"/>
      <c r="GY198" s="13"/>
      <c r="GZ198" s="13"/>
      <c r="HA198" s="13"/>
      <c r="HB198" s="13"/>
      <c r="HC198" s="13"/>
      <c r="HD198" s="13"/>
      <c r="HE198" s="13"/>
      <c r="HF198" s="13"/>
      <c r="HG198" s="13"/>
      <c r="HH198" s="13"/>
      <c r="HI198" s="13"/>
      <c r="HJ198" s="13"/>
      <c r="HK198" s="13"/>
      <c r="HL198" s="13"/>
      <c r="HM198" s="13"/>
      <c r="HN198" s="13"/>
      <c r="HO198" s="13"/>
      <c r="HP198" s="13"/>
      <c r="HQ198" s="13"/>
      <c r="HR198" s="13"/>
      <c r="HS198" s="13"/>
      <c r="HT198" s="13"/>
      <c r="HU198" s="13"/>
      <c r="HV198" s="13"/>
      <c r="HW198" s="13"/>
      <c r="HX198" s="13"/>
      <c r="HY198" s="13"/>
      <c r="HZ198" s="13"/>
      <c r="IA198" s="13"/>
      <c r="IB198" s="13"/>
      <c r="IC198" s="13"/>
      <c r="ID198" s="13"/>
      <c r="IE198" s="13"/>
      <c r="IF198" s="13"/>
      <c r="IG198" s="13"/>
      <c r="IH198" s="13"/>
      <c r="II198" s="13"/>
      <c r="IJ198" s="13"/>
      <c r="IK198" s="13"/>
      <c r="IL198" s="13"/>
      <c r="IM198" s="13"/>
    </row>
    <row r="199" spans="1:247" s="10" customFormat="1" ht="30" x14ac:dyDescent="0.25">
      <c r="A199" s="18">
        <v>1</v>
      </c>
      <c r="B199" s="207" t="s">
        <v>79</v>
      </c>
      <c r="C199" s="324">
        <f t="shared" si="87"/>
        <v>3071</v>
      </c>
      <c r="D199" s="324">
        <f t="shared" si="87"/>
        <v>2047</v>
      </c>
      <c r="E199" s="324">
        <f t="shared" si="87"/>
        <v>2093</v>
      </c>
      <c r="F199" s="324">
        <f t="shared" si="87"/>
        <v>102.24719101123596</v>
      </c>
      <c r="G199" s="501">
        <f t="shared" si="87"/>
        <v>4181.0510000000004</v>
      </c>
      <c r="H199" s="501">
        <f t="shared" si="87"/>
        <v>2787.37</v>
      </c>
      <c r="I199" s="501">
        <f t="shared" si="87"/>
        <v>3273.26316</v>
      </c>
      <c r="J199" s="501">
        <f t="shared" si="87"/>
        <v>117.43195772358889</v>
      </c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  <c r="DH199" s="13"/>
      <c r="DI199" s="13"/>
      <c r="DJ199" s="13"/>
      <c r="DK199" s="13"/>
      <c r="DL199" s="13"/>
      <c r="DM199" s="13"/>
      <c r="DN199" s="13"/>
      <c r="DO199" s="13"/>
      <c r="DP199" s="13"/>
      <c r="DQ199" s="13"/>
      <c r="DR199" s="13"/>
      <c r="DS199" s="13"/>
      <c r="DT199" s="13"/>
      <c r="DU199" s="13"/>
      <c r="DV199" s="13"/>
      <c r="DW199" s="13"/>
      <c r="DX199" s="13"/>
      <c r="DY199" s="13"/>
      <c r="DZ199" s="13"/>
      <c r="EA199" s="13"/>
      <c r="EB199" s="13"/>
      <c r="EC199" s="13"/>
      <c r="ED199" s="13"/>
      <c r="EE199" s="13"/>
      <c r="EF199" s="13"/>
      <c r="EG199" s="13"/>
      <c r="EH199" s="13"/>
      <c r="EI199" s="13"/>
      <c r="EJ199" s="13"/>
      <c r="EK199" s="13"/>
      <c r="EL199" s="13"/>
      <c r="EM199" s="13"/>
      <c r="EN199" s="13"/>
      <c r="EO199" s="13"/>
      <c r="EP199" s="13"/>
      <c r="EQ199" s="13"/>
      <c r="ER199" s="13"/>
      <c r="ES199" s="13"/>
      <c r="ET199" s="13"/>
      <c r="EU199" s="13"/>
      <c r="EV199" s="13"/>
      <c r="EW199" s="13"/>
      <c r="EX199" s="13"/>
      <c r="EY199" s="13"/>
      <c r="EZ199" s="13"/>
      <c r="FA199" s="13"/>
      <c r="FB199" s="13"/>
      <c r="FC199" s="13"/>
      <c r="FD199" s="13"/>
      <c r="FE199" s="13"/>
      <c r="FF199" s="13"/>
      <c r="FG199" s="13"/>
      <c r="FH199" s="13"/>
      <c r="FI199" s="13"/>
      <c r="FJ199" s="13"/>
      <c r="FK199" s="13"/>
      <c r="FL199" s="13"/>
      <c r="FM199" s="13"/>
      <c r="FN199" s="13"/>
      <c r="FO199" s="13"/>
      <c r="FP199" s="13"/>
      <c r="FQ199" s="13"/>
      <c r="FR199" s="13"/>
      <c r="FS199" s="13"/>
      <c r="FT199" s="13"/>
      <c r="FU199" s="13"/>
      <c r="FV199" s="13"/>
      <c r="FW199" s="13"/>
      <c r="FX199" s="13"/>
      <c r="FY199" s="13"/>
      <c r="FZ199" s="13"/>
      <c r="GA199" s="13"/>
      <c r="GB199" s="13"/>
      <c r="GC199" s="13"/>
      <c r="GD199" s="13"/>
      <c r="GE199" s="13"/>
      <c r="GF199" s="13"/>
      <c r="GG199" s="13"/>
      <c r="GH199" s="13"/>
      <c r="GI199" s="13"/>
      <c r="GJ199" s="13"/>
      <c r="GK199" s="13"/>
      <c r="GL199" s="13"/>
      <c r="GM199" s="13"/>
      <c r="GN199" s="13"/>
      <c r="GO199" s="13"/>
      <c r="GP199" s="13"/>
      <c r="GQ199" s="13"/>
      <c r="GR199" s="13"/>
      <c r="GS199" s="13"/>
      <c r="GT199" s="13"/>
      <c r="GU199" s="13"/>
      <c r="GV199" s="13"/>
      <c r="GW199" s="13"/>
      <c r="GX199" s="13"/>
      <c r="GY199" s="13"/>
      <c r="GZ199" s="13"/>
      <c r="HA199" s="13"/>
      <c r="HB199" s="13"/>
      <c r="HC199" s="13"/>
      <c r="HD199" s="13"/>
      <c r="HE199" s="13"/>
      <c r="HF199" s="13"/>
      <c r="HG199" s="13"/>
      <c r="HH199" s="13"/>
      <c r="HI199" s="13"/>
      <c r="HJ199" s="13"/>
      <c r="HK199" s="13"/>
      <c r="HL199" s="13"/>
      <c r="HM199" s="13"/>
      <c r="HN199" s="13"/>
      <c r="HO199" s="13"/>
      <c r="HP199" s="13"/>
      <c r="HQ199" s="13"/>
      <c r="HR199" s="13"/>
      <c r="HS199" s="13"/>
      <c r="HT199" s="13"/>
      <c r="HU199" s="13"/>
      <c r="HV199" s="13"/>
      <c r="HW199" s="13"/>
      <c r="HX199" s="13"/>
      <c r="HY199" s="13"/>
      <c r="HZ199" s="13"/>
      <c r="IA199" s="13"/>
      <c r="IB199" s="13"/>
      <c r="IC199" s="13"/>
      <c r="ID199" s="13"/>
      <c r="IE199" s="13"/>
      <c r="IF199" s="13"/>
      <c r="IG199" s="13"/>
      <c r="IH199" s="13"/>
      <c r="II199" s="13"/>
      <c r="IJ199" s="13"/>
      <c r="IK199" s="13"/>
      <c r="IL199" s="13"/>
      <c r="IM199" s="13"/>
    </row>
    <row r="200" spans="1:247" s="10" customFormat="1" ht="30" x14ac:dyDescent="0.25">
      <c r="A200" s="18">
        <v>1</v>
      </c>
      <c r="B200" s="207" t="s">
        <v>80</v>
      </c>
      <c r="C200" s="324">
        <f t="shared" si="87"/>
        <v>921</v>
      </c>
      <c r="D200" s="324">
        <f t="shared" si="87"/>
        <v>614</v>
      </c>
      <c r="E200" s="324">
        <f t="shared" si="87"/>
        <v>0</v>
      </c>
      <c r="F200" s="324">
        <f t="shared" si="87"/>
        <v>0</v>
      </c>
      <c r="G200" s="501">
        <f t="shared" si="87"/>
        <v>1557.7278099999999</v>
      </c>
      <c r="H200" s="501">
        <f t="shared" si="87"/>
        <v>1038.49</v>
      </c>
      <c r="I200" s="501">
        <f t="shared" si="87"/>
        <v>-63.581899999999997</v>
      </c>
      <c r="J200" s="501">
        <f t="shared" si="87"/>
        <v>-6.1225336787065832</v>
      </c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  <c r="DH200" s="13"/>
      <c r="DI200" s="13"/>
      <c r="DJ200" s="13"/>
      <c r="DK200" s="13"/>
      <c r="DL200" s="13"/>
      <c r="DM200" s="13"/>
      <c r="DN200" s="13"/>
      <c r="DO200" s="13"/>
      <c r="DP200" s="13"/>
      <c r="DQ200" s="13"/>
      <c r="DR200" s="13"/>
      <c r="DS200" s="13"/>
      <c r="DT200" s="13"/>
      <c r="DU200" s="13"/>
      <c r="DV200" s="13"/>
      <c r="DW200" s="13"/>
      <c r="DX200" s="13"/>
      <c r="DY200" s="13"/>
      <c r="DZ200" s="13"/>
      <c r="EA200" s="13"/>
      <c r="EB200" s="13"/>
      <c r="EC200" s="13"/>
      <c r="ED200" s="13"/>
      <c r="EE200" s="13"/>
      <c r="EF200" s="13"/>
      <c r="EG200" s="13"/>
      <c r="EH200" s="13"/>
      <c r="EI200" s="13"/>
      <c r="EJ200" s="13"/>
      <c r="EK200" s="13"/>
      <c r="EL200" s="13"/>
      <c r="EM200" s="13"/>
      <c r="EN200" s="13"/>
      <c r="EO200" s="13"/>
      <c r="EP200" s="13"/>
      <c r="EQ200" s="13"/>
      <c r="ER200" s="13"/>
      <c r="ES200" s="13"/>
      <c r="ET200" s="13"/>
      <c r="EU200" s="13"/>
      <c r="EV200" s="13"/>
      <c r="EW200" s="13"/>
      <c r="EX200" s="13"/>
      <c r="EY200" s="13"/>
      <c r="EZ200" s="13"/>
      <c r="FA200" s="13"/>
      <c r="FB200" s="13"/>
      <c r="FC200" s="13"/>
      <c r="FD200" s="13"/>
      <c r="FE200" s="13"/>
      <c r="FF200" s="13"/>
      <c r="FG200" s="13"/>
      <c r="FH200" s="13"/>
      <c r="FI200" s="13"/>
      <c r="FJ200" s="13"/>
      <c r="FK200" s="13"/>
      <c r="FL200" s="13"/>
      <c r="FM200" s="13"/>
      <c r="FN200" s="13"/>
      <c r="FO200" s="13"/>
      <c r="FP200" s="13"/>
      <c r="FQ200" s="13"/>
      <c r="FR200" s="13"/>
      <c r="FS200" s="13"/>
      <c r="FT200" s="13"/>
      <c r="FU200" s="13"/>
      <c r="FV200" s="13"/>
      <c r="FW200" s="13"/>
      <c r="FX200" s="13"/>
      <c r="FY200" s="13"/>
      <c r="FZ200" s="13"/>
      <c r="GA200" s="13"/>
      <c r="GB200" s="13"/>
      <c r="GC200" s="13"/>
      <c r="GD200" s="13"/>
      <c r="GE200" s="13"/>
      <c r="GF200" s="13"/>
      <c r="GG200" s="13"/>
      <c r="GH200" s="13"/>
      <c r="GI200" s="13"/>
      <c r="GJ200" s="13"/>
      <c r="GK200" s="13"/>
      <c r="GL200" s="13"/>
      <c r="GM200" s="13"/>
      <c r="GN200" s="13"/>
      <c r="GO200" s="13"/>
      <c r="GP200" s="13"/>
      <c r="GQ200" s="13"/>
      <c r="GR200" s="13"/>
      <c r="GS200" s="13"/>
      <c r="GT200" s="13"/>
      <c r="GU200" s="13"/>
      <c r="GV200" s="13"/>
      <c r="GW200" s="13"/>
      <c r="GX200" s="13"/>
      <c r="GY200" s="13"/>
      <c r="GZ200" s="13"/>
      <c r="HA200" s="13"/>
      <c r="HB200" s="13"/>
      <c r="HC200" s="13"/>
      <c r="HD200" s="13"/>
      <c r="HE200" s="13"/>
      <c r="HF200" s="13"/>
      <c r="HG200" s="13"/>
      <c r="HH200" s="13"/>
      <c r="HI200" s="13"/>
      <c r="HJ200" s="13"/>
      <c r="HK200" s="13"/>
      <c r="HL200" s="13"/>
      <c r="HM200" s="13"/>
      <c r="HN200" s="13"/>
      <c r="HO200" s="13"/>
      <c r="HP200" s="13"/>
      <c r="HQ200" s="13"/>
      <c r="HR200" s="13"/>
      <c r="HS200" s="13"/>
      <c r="HT200" s="13"/>
      <c r="HU200" s="13"/>
      <c r="HV200" s="13"/>
      <c r="HW200" s="13"/>
      <c r="HX200" s="13"/>
      <c r="HY200" s="13"/>
      <c r="HZ200" s="13"/>
      <c r="IA200" s="13"/>
      <c r="IB200" s="13"/>
      <c r="IC200" s="13"/>
      <c r="ID200" s="13"/>
      <c r="IE200" s="13"/>
      <c r="IF200" s="13"/>
      <c r="IG200" s="13"/>
      <c r="IH200" s="13"/>
      <c r="II200" s="13"/>
      <c r="IJ200" s="13"/>
      <c r="IK200" s="13"/>
      <c r="IL200" s="13"/>
      <c r="IM200" s="13"/>
    </row>
    <row r="201" spans="1:247" s="10" customFormat="1" ht="45" x14ac:dyDescent="0.25">
      <c r="A201" s="18">
        <v>1</v>
      </c>
      <c r="B201" s="207" t="s">
        <v>114</v>
      </c>
      <c r="C201" s="324">
        <f t="shared" si="87"/>
        <v>20</v>
      </c>
      <c r="D201" s="324">
        <f t="shared" si="87"/>
        <v>13</v>
      </c>
      <c r="E201" s="324">
        <f t="shared" si="87"/>
        <v>21</v>
      </c>
      <c r="F201" s="324">
        <f t="shared" si="87"/>
        <v>161.53846153846155</v>
      </c>
      <c r="G201" s="501">
        <f t="shared" si="87"/>
        <v>131.24160000000001</v>
      </c>
      <c r="H201" s="501">
        <f t="shared" si="87"/>
        <v>87.49</v>
      </c>
      <c r="I201" s="501">
        <f t="shared" si="87"/>
        <v>137.80367999999999</v>
      </c>
      <c r="J201" s="501">
        <f t="shared" si="87"/>
        <v>157.50792090524629</v>
      </c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  <c r="DH201" s="13"/>
      <c r="DI201" s="13"/>
      <c r="DJ201" s="13"/>
      <c r="DK201" s="13"/>
      <c r="DL201" s="13"/>
      <c r="DM201" s="13"/>
      <c r="DN201" s="13"/>
      <c r="DO201" s="13"/>
      <c r="DP201" s="13"/>
      <c r="DQ201" s="13"/>
      <c r="DR201" s="13"/>
      <c r="DS201" s="13"/>
      <c r="DT201" s="13"/>
      <c r="DU201" s="13"/>
      <c r="DV201" s="13"/>
      <c r="DW201" s="13"/>
      <c r="DX201" s="13"/>
      <c r="DY201" s="13"/>
      <c r="DZ201" s="13"/>
      <c r="EA201" s="13"/>
      <c r="EB201" s="13"/>
      <c r="EC201" s="13"/>
      <c r="ED201" s="13"/>
      <c r="EE201" s="13"/>
      <c r="EF201" s="13"/>
      <c r="EG201" s="13"/>
      <c r="EH201" s="13"/>
      <c r="EI201" s="13"/>
      <c r="EJ201" s="13"/>
      <c r="EK201" s="13"/>
      <c r="EL201" s="13"/>
      <c r="EM201" s="13"/>
      <c r="EN201" s="13"/>
      <c r="EO201" s="13"/>
      <c r="EP201" s="13"/>
      <c r="EQ201" s="13"/>
      <c r="ER201" s="13"/>
      <c r="ES201" s="13"/>
      <c r="ET201" s="13"/>
      <c r="EU201" s="13"/>
      <c r="EV201" s="13"/>
      <c r="EW201" s="13"/>
      <c r="EX201" s="13"/>
      <c r="EY201" s="13"/>
      <c r="EZ201" s="13"/>
      <c r="FA201" s="13"/>
      <c r="FB201" s="13"/>
      <c r="FC201" s="13"/>
      <c r="FD201" s="13"/>
      <c r="FE201" s="13"/>
      <c r="FF201" s="13"/>
      <c r="FG201" s="13"/>
      <c r="FH201" s="13"/>
      <c r="FI201" s="13"/>
      <c r="FJ201" s="13"/>
      <c r="FK201" s="13"/>
      <c r="FL201" s="13"/>
      <c r="FM201" s="13"/>
      <c r="FN201" s="13"/>
      <c r="FO201" s="13"/>
      <c r="FP201" s="13"/>
      <c r="FQ201" s="13"/>
      <c r="FR201" s="13"/>
      <c r="FS201" s="13"/>
      <c r="FT201" s="13"/>
      <c r="FU201" s="13"/>
      <c r="FV201" s="13"/>
      <c r="FW201" s="13"/>
      <c r="FX201" s="13"/>
      <c r="FY201" s="13"/>
      <c r="FZ201" s="13"/>
      <c r="GA201" s="13"/>
      <c r="GB201" s="13"/>
      <c r="GC201" s="13"/>
      <c r="GD201" s="13"/>
      <c r="GE201" s="13"/>
      <c r="GF201" s="13"/>
      <c r="GG201" s="13"/>
      <c r="GH201" s="13"/>
      <c r="GI201" s="13"/>
      <c r="GJ201" s="13"/>
      <c r="GK201" s="13"/>
      <c r="GL201" s="13"/>
      <c r="GM201" s="13"/>
      <c r="GN201" s="13"/>
      <c r="GO201" s="13"/>
      <c r="GP201" s="13"/>
      <c r="GQ201" s="13"/>
      <c r="GR201" s="13"/>
      <c r="GS201" s="13"/>
      <c r="GT201" s="13"/>
      <c r="GU201" s="13"/>
      <c r="GV201" s="13"/>
      <c r="GW201" s="13"/>
      <c r="GX201" s="13"/>
      <c r="GY201" s="13"/>
      <c r="GZ201" s="13"/>
      <c r="HA201" s="13"/>
      <c r="HB201" s="13"/>
      <c r="HC201" s="13"/>
      <c r="HD201" s="13"/>
      <c r="HE201" s="13"/>
      <c r="HF201" s="13"/>
      <c r="HG201" s="13"/>
      <c r="HH201" s="13"/>
      <c r="HI201" s="13"/>
      <c r="HJ201" s="13"/>
      <c r="HK201" s="13"/>
      <c r="HL201" s="13"/>
      <c r="HM201" s="13"/>
      <c r="HN201" s="13"/>
      <c r="HO201" s="13"/>
      <c r="HP201" s="13"/>
      <c r="HQ201" s="13"/>
      <c r="HR201" s="13"/>
      <c r="HS201" s="13"/>
      <c r="HT201" s="13"/>
      <c r="HU201" s="13"/>
      <c r="HV201" s="13"/>
      <c r="HW201" s="13"/>
      <c r="HX201" s="13"/>
      <c r="HY201" s="13"/>
      <c r="HZ201" s="13"/>
      <c r="IA201" s="13"/>
      <c r="IB201" s="13"/>
      <c r="IC201" s="13"/>
      <c r="ID201" s="13"/>
      <c r="IE201" s="13"/>
      <c r="IF201" s="13"/>
      <c r="IG201" s="13"/>
      <c r="IH201" s="13"/>
      <c r="II201" s="13"/>
      <c r="IJ201" s="13"/>
      <c r="IK201" s="13"/>
      <c r="IL201" s="13"/>
      <c r="IM201" s="13"/>
    </row>
    <row r="202" spans="1:247" s="10" customFormat="1" ht="30" x14ac:dyDescent="0.25">
      <c r="A202" s="18">
        <v>1</v>
      </c>
      <c r="B202" s="207" t="s">
        <v>115</v>
      </c>
      <c r="C202" s="324">
        <f t="shared" si="87"/>
        <v>173</v>
      </c>
      <c r="D202" s="324">
        <f t="shared" si="87"/>
        <v>115</v>
      </c>
      <c r="E202" s="324">
        <f t="shared" si="87"/>
        <v>145</v>
      </c>
      <c r="F202" s="324">
        <f t="shared" si="87"/>
        <v>126.08695652173914</v>
      </c>
      <c r="G202" s="501">
        <f t="shared" si="87"/>
        <v>1135.2398400000002</v>
      </c>
      <c r="H202" s="501">
        <f t="shared" si="87"/>
        <v>756.83</v>
      </c>
      <c r="I202" s="501">
        <f t="shared" si="87"/>
        <v>944.93934999999999</v>
      </c>
      <c r="J202" s="501">
        <f t="shared" si="87"/>
        <v>124.8549013649036</v>
      </c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  <c r="DH202" s="13"/>
      <c r="DI202" s="13"/>
      <c r="DJ202" s="13"/>
      <c r="DK202" s="13"/>
      <c r="DL202" s="13"/>
      <c r="DM202" s="13"/>
      <c r="DN202" s="13"/>
      <c r="DO202" s="13"/>
      <c r="DP202" s="13"/>
      <c r="DQ202" s="13"/>
      <c r="DR202" s="13"/>
      <c r="DS202" s="13"/>
      <c r="DT202" s="13"/>
      <c r="DU202" s="13"/>
      <c r="DV202" s="13"/>
      <c r="DW202" s="13"/>
      <c r="DX202" s="13"/>
      <c r="DY202" s="13"/>
      <c r="DZ202" s="13"/>
      <c r="EA202" s="13"/>
      <c r="EB202" s="13"/>
      <c r="EC202" s="13"/>
      <c r="ED202" s="13"/>
      <c r="EE202" s="13"/>
      <c r="EF202" s="13"/>
      <c r="EG202" s="13"/>
      <c r="EH202" s="13"/>
      <c r="EI202" s="13"/>
      <c r="EJ202" s="13"/>
      <c r="EK202" s="13"/>
      <c r="EL202" s="13"/>
      <c r="EM202" s="13"/>
      <c r="EN202" s="13"/>
      <c r="EO202" s="13"/>
      <c r="EP202" s="13"/>
      <c r="EQ202" s="13"/>
      <c r="ER202" s="13"/>
      <c r="ES202" s="13"/>
      <c r="ET202" s="13"/>
      <c r="EU202" s="13"/>
      <c r="EV202" s="13"/>
      <c r="EW202" s="13"/>
      <c r="EX202" s="13"/>
      <c r="EY202" s="13"/>
      <c r="EZ202" s="13"/>
      <c r="FA202" s="13"/>
      <c r="FB202" s="13"/>
      <c r="FC202" s="13"/>
      <c r="FD202" s="13"/>
      <c r="FE202" s="13"/>
      <c r="FF202" s="13"/>
      <c r="FG202" s="13"/>
      <c r="FH202" s="13"/>
      <c r="FI202" s="13"/>
      <c r="FJ202" s="13"/>
      <c r="FK202" s="13"/>
      <c r="FL202" s="13"/>
      <c r="FM202" s="13"/>
      <c r="FN202" s="13"/>
      <c r="FO202" s="13"/>
      <c r="FP202" s="13"/>
      <c r="FQ202" s="13"/>
      <c r="FR202" s="13"/>
      <c r="FS202" s="13"/>
      <c r="FT202" s="13"/>
      <c r="FU202" s="13"/>
      <c r="FV202" s="13"/>
      <c r="FW202" s="13"/>
      <c r="FX202" s="13"/>
      <c r="FY202" s="13"/>
      <c r="FZ202" s="13"/>
      <c r="GA202" s="13"/>
      <c r="GB202" s="13"/>
      <c r="GC202" s="13"/>
      <c r="GD202" s="13"/>
      <c r="GE202" s="13"/>
      <c r="GF202" s="13"/>
      <c r="GG202" s="13"/>
      <c r="GH202" s="13"/>
      <c r="GI202" s="13"/>
      <c r="GJ202" s="13"/>
      <c r="GK202" s="13"/>
      <c r="GL202" s="13"/>
      <c r="GM202" s="13"/>
      <c r="GN202" s="13"/>
      <c r="GO202" s="13"/>
      <c r="GP202" s="13"/>
      <c r="GQ202" s="13"/>
      <c r="GR202" s="13"/>
      <c r="GS202" s="13"/>
      <c r="GT202" s="13"/>
      <c r="GU202" s="13"/>
      <c r="GV202" s="13"/>
      <c r="GW202" s="13"/>
      <c r="GX202" s="13"/>
      <c r="GY202" s="13"/>
      <c r="GZ202" s="13"/>
      <c r="HA202" s="13"/>
      <c r="HB202" s="13"/>
      <c r="HC202" s="13"/>
      <c r="HD202" s="13"/>
      <c r="HE202" s="13"/>
      <c r="HF202" s="13"/>
      <c r="HG202" s="13"/>
      <c r="HH202" s="13"/>
      <c r="HI202" s="13"/>
      <c r="HJ202" s="13"/>
      <c r="HK202" s="13"/>
      <c r="HL202" s="13"/>
      <c r="HM202" s="13"/>
      <c r="HN202" s="13"/>
      <c r="HO202" s="13"/>
      <c r="HP202" s="13"/>
      <c r="HQ202" s="13"/>
      <c r="HR202" s="13"/>
      <c r="HS202" s="13"/>
      <c r="HT202" s="13"/>
      <c r="HU202" s="13"/>
      <c r="HV202" s="13"/>
      <c r="HW202" s="13"/>
      <c r="HX202" s="13"/>
      <c r="HY202" s="13"/>
      <c r="HZ202" s="13"/>
      <c r="IA202" s="13"/>
      <c r="IB202" s="13"/>
      <c r="IC202" s="13"/>
      <c r="ID202" s="13"/>
      <c r="IE202" s="13"/>
      <c r="IF202" s="13"/>
      <c r="IG202" s="13"/>
      <c r="IH202" s="13"/>
      <c r="II202" s="13"/>
      <c r="IJ202" s="13"/>
      <c r="IK202" s="13"/>
      <c r="IL202" s="13"/>
      <c r="IM202" s="13"/>
    </row>
    <row r="203" spans="1:247" s="10" customFormat="1" ht="30" x14ac:dyDescent="0.25">
      <c r="A203" s="18">
        <v>1</v>
      </c>
      <c r="B203" s="208" t="s">
        <v>112</v>
      </c>
      <c r="C203" s="324">
        <f t="shared" si="87"/>
        <v>4350</v>
      </c>
      <c r="D203" s="324">
        <f t="shared" si="87"/>
        <v>2900</v>
      </c>
      <c r="E203" s="324">
        <f t="shared" si="87"/>
        <v>1378</v>
      </c>
      <c r="F203" s="324">
        <f t="shared" si="87"/>
        <v>47.517241379310342</v>
      </c>
      <c r="G203" s="501">
        <f t="shared" si="87"/>
        <v>10640.283499999998</v>
      </c>
      <c r="H203" s="501">
        <f t="shared" si="87"/>
        <v>7093.52</v>
      </c>
      <c r="I203" s="501">
        <f t="shared" si="87"/>
        <v>2705.9679099999998</v>
      </c>
      <c r="J203" s="501">
        <f t="shared" si="87"/>
        <v>38.147039974511941</v>
      </c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  <c r="DH203" s="13"/>
      <c r="DI203" s="13"/>
      <c r="DJ203" s="13"/>
      <c r="DK203" s="13"/>
      <c r="DL203" s="13"/>
      <c r="DM203" s="13"/>
      <c r="DN203" s="13"/>
      <c r="DO203" s="13"/>
      <c r="DP203" s="13"/>
      <c r="DQ203" s="13"/>
      <c r="DR203" s="13"/>
      <c r="DS203" s="13"/>
      <c r="DT203" s="13"/>
      <c r="DU203" s="13"/>
      <c r="DV203" s="13"/>
      <c r="DW203" s="13"/>
      <c r="DX203" s="13"/>
      <c r="DY203" s="13"/>
      <c r="DZ203" s="13"/>
      <c r="EA203" s="13"/>
      <c r="EB203" s="13"/>
      <c r="EC203" s="13"/>
      <c r="ED203" s="13"/>
      <c r="EE203" s="13"/>
      <c r="EF203" s="13"/>
      <c r="EG203" s="13"/>
      <c r="EH203" s="13"/>
      <c r="EI203" s="13"/>
      <c r="EJ203" s="13"/>
      <c r="EK203" s="13"/>
      <c r="EL203" s="13"/>
      <c r="EM203" s="13"/>
      <c r="EN203" s="13"/>
      <c r="EO203" s="13"/>
      <c r="EP203" s="13"/>
      <c r="EQ203" s="13"/>
      <c r="ER203" s="13"/>
      <c r="ES203" s="13"/>
      <c r="ET203" s="13"/>
      <c r="EU203" s="13"/>
      <c r="EV203" s="13"/>
      <c r="EW203" s="13"/>
      <c r="EX203" s="13"/>
      <c r="EY203" s="13"/>
      <c r="EZ203" s="13"/>
      <c r="FA203" s="13"/>
      <c r="FB203" s="13"/>
      <c r="FC203" s="13"/>
      <c r="FD203" s="13"/>
      <c r="FE203" s="13"/>
      <c r="FF203" s="13"/>
      <c r="FG203" s="13"/>
      <c r="FH203" s="13"/>
      <c r="FI203" s="13"/>
      <c r="FJ203" s="13"/>
      <c r="FK203" s="13"/>
      <c r="FL203" s="13"/>
      <c r="FM203" s="13"/>
      <c r="FN203" s="13"/>
      <c r="FO203" s="13"/>
      <c r="FP203" s="13"/>
      <c r="FQ203" s="13"/>
      <c r="FR203" s="13"/>
      <c r="FS203" s="13"/>
      <c r="FT203" s="13"/>
      <c r="FU203" s="13"/>
      <c r="FV203" s="13"/>
      <c r="FW203" s="13"/>
      <c r="FX203" s="13"/>
      <c r="FY203" s="13"/>
      <c r="FZ203" s="13"/>
      <c r="GA203" s="13"/>
      <c r="GB203" s="13"/>
      <c r="GC203" s="13"/>
      <c r="GD203" s="13"/>
      <c r="GE203" s="13"/>
      <c r="GF203" s="13"/>
      <c r="GG203" s="13"/>
      <c r="GH203" s="13"/>
      <c r="GI203" s="13"/>
      <c r="GJ203" s="13"/>
      <c r="GK203" s="13"/>
      <c r="GL203" s="13"/>
      <c r="GM203" s="13"/>
      <c r="GN203" s="13"/>
      <c r="GO203" s="13"/>
      <c r="GP203" s="13"/>
      <c r="GQ203" s="13"/>
      <c r="GR203" s="13"/>
      <c r="GS203" s="13"/>
      <c r="GT203" s="13"/>
      <c r="GU203" s="13"/>
      <c r="GV203" s="13"/>
      <c r="GW203" s="13"/>
      <c r="GX203" s="13"/>
      <c r="GY203" s="13"/>
      <c r="GZ203" s="13"/>
      <c r="HA203" s="13"/>
      <c r="HB203" s="13"/>
      <c r="HC203" s="13"/>
      <c r="HD203" s="13"/>
      <c r="HE203" s="13"/>
      <c r="HF203" s="13"/>
      <c r="HG203" s="13"/>
      <c r="HH203" s="13"/>
      <c r="HI203" s="13"/>
      <c r="HJ203" s="13"/>
      <c r="HK203" s="13"/>
      <c r="HL203" s="13"/>
      <c r="HM203" s="13"/>
      <c r="HN203" s="13"/>
      <c r="HO203" s="13"/>
      <c r="HP203" s="13"/>
      <c r="HQ203" s="13"/>
      <c r="HR203" s="13"/>
      <c r="HS203" s="13"/>
      <c r="HT203" s="13"/>
      <c r="HU203" s="13"/>
      <c r="HV203" s="13"/>
      <c r="HW203" s="13"/>
      <c r="HX203" s="13"/>
      <c r="HY203" s="13"/>
      <c r="HZ203" s="13"/>
      <c r="IA203" s="13"/>
      <c r="IB203" s="13"/>
      <c r="IC203" s="13"/>
      <c r="ID203" s="13"/>
      <c r="IE203" s="13"/>
      <c r="IF203" s="13"/>
      <c r="IG203" s="13"/>
      <c r="IH203" s="13"/>
      <c r="II203" s="13"/>
      <c r="IJ203" s="13"/>
      <c r="IK203" s="13"/>
      <c r="IL203" s="13"/>
      <c r="IM203" s="13"/>
    </row>
    <row r="204" spans="1:247" s="10" customFormat="1" ht="30" x14ac:dyDescent="0.25">
      <c r="A204" s="18">
        <v>1</v>
      </c>
      <c r="B204" s="207" t="s">
        <v>108</v>
      </c>
      <c r="C204" s="324">
        <f t="shared" si="87"/>
        <v>150</v>
      </c>
      <c r="D204" s="324">
        <f t="shared" si="87"/>
        <v>100</v>
      </c>
      <c r="E204" s="324">
        <f t="shared" si="87"/>
        <v>46</v>
      </c>
      <c r="F204" s="324">
        <f t="shared" si="87"/>
        <v>46</v>
      </c>
      <c r="G204" s="501">
        <f t="shared" si="87"/>
        <v>318.07650000000001</v>
      </c>
      <c r="H204" s="501">
        <f t="shared" si="87"/>
        <v>212.05</v>
      </c>
      <c r="I204" s="501">
        <f t="shared" si="87"/>
        <v>2.9668500000000204</v>
      </c>
      <c r="J204" s="501">
        <f t="shared" si="87"/>
        <v>1.3991275642537233</v>
      </c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  <c r="DH204" s="13"/>
      <c r="DI204" s="13"/>
      <c r="DJ204" s="13"/>
      <c r="DK204" s="13"/>
      <c r="DL204" s="13"/>
      <c r="DM204" s="13"/>
      <c r="DN204" s="13"/>
      <c r="DO204" s="13"/>
      <c r="DP204" s="13"/>
      <c r="DQ204" s="13"/>
      <c r="DR204" s="13"/>
      <c r="DS204" s="13"/>
      <c r="DT204" s="13"/>
      <c r="DU204" s="13"/>
      <c r="DV204" s="13"/>
      <c r="DW204" s="13"/>
      <c r="DX204" s="13"/>
      <c r="DY204" s="13"/>
      <c r="DZ204" s="13"/>
      <c r="EA204" s="13"/>
      <c r="EB204" s="13"/>
      <c r="EC204" s="13"/>
      <c r="ED204" s="13"/>
      <c r="EE204" s="13"/>
      <c r="EF204" s="13"/>
      <c r="EG204" s="13"/>
      <c r="EH204" s="13"/>
      <c r="EI204" s="13"/>
      <c r="EJ204" s="13"/>
      <c r="EK204" s="13"/>
      <c r="EL204" s="13"/>
      <c r="EM204" s="13"/>
      <c r="EN204" s="13"/>
      <c r="EO204" s="13"/>
      <c r="EP204" s="13"/>
      <c r="EQ204" s="13"/>
      <c r="ER204" s="13"/>
      <c r="ES204" s="13"/>
      <c r="ET204" s="13"/>
      <c r="EU204" s="13"/>
      <c r="EV204" s="13"/>
      <c r="EW204" s="13"/>
      <c r="EX204" s="13"/>
      <c r="EY204" s="13"/>
      <c r="EZ204" s="13"/>
      <c r="FA204" s="13"/>
      <c r="FB204" s="13"/>
      <c r="FC204" s="13"/>
      <c r="FD204" s="13"/>
      <c r="FE204" s="13"/>
      <c r="FF204" s="13"/>
      <c r="FG204" s="13"/>
      <c r="FH204" s="13"/>
      <c r="FI204" s="13"/>
      <c r="FJ204" s="13"/>
      <c r="FK204" s="13"/>
      <c r="FL204" s="13"/>
      <c r="FM204" s="13"/>
      <c r="FN204" s="13"/>
      <c r="FO204" s="13"/>
      <c r="FP204" s="13"/>
      <c r="FQ204" s="13"/>
      <c r="FR204" s="13"/>
      <c r="FS204" s="13"/>
      <c r="FT204" s="13"/>
      <c r="FU204" s="13"/>
      <c r="FV204" s="13"/>
      <c r="FW204" s="13"/>
      <c r="FX204" s="13"/>
      <c r="FY204" s="13"/>
      <c r="FZ204" s="13"/>
      <c r="GA204" s="13"/>
      <c r="GB204" s="13"/>
      <c r="GC204" s="13"/>
      <c r="GD204" s="13"/>
      <c r="GE204" s="13"/>
      <c r="GF204" s="13"/>
      <c r="GG204" s="13"/>
      <c r="GH204" s="13"/>
      <c r="GI204" s="13"/>
      <c r="GJ204" s="13"/>
      <c r="GK204" s="13"/>
      <c r="GL204" s="13"/>
      <c r="GM204" s="13"/>
      <c r="GN204" s="13"/>
      <c r="GO204" s="13"/>
      <c r="GP204" s="13"/>
      <c r="GQ204" s="13"/>
      <c r="GR204" s="13"/>
      <c r="GS204" s="13"/>
      <c r="GT204" s="13"/>
      <c r="GU204" s="13"/>
      <c r="GV204" s="13"/>
      <c r="GW204" s="13"/>
      <c r="GX204" s="13"/>
      <c r="GY204" s="13"/>
      <c r="GZ204" s="13"/>
      <c r="HA204" s="13"/>
      <c r="HB204" s="13"/>
      <c r="HC204" s="13"/>
      <c r="HD204" s="13"/>
      <c r="HE204" s="13"/>
      <c r="HF204" s="13"/>
      <c r="HG204" s="13"/>
      <c r="HH204" s="13"/>
      <c r="HI204" s="13"/>
      <c r="HJ204" s="13"/>
      <c r="HK204" s="13"/>
      <c r="HL204" s="13"/>
      <c r="HM204" s="13"/>
      <c r="HN204" s="13"/>
      <c r="HO204" s="13"/>
      <c r="HP204" s="13"/>
      <c r="HQ204" s="13"/>
      <c r="HR204" s="13"/>
      <c r="HS204" s="13"/>
      <c r="HT204" s="13"/>
      <c r="HU204" s="13"/>
      <c r="HV204" s="13"/>
      <c r="HW204" s="13"/>
      <c r="HX204" s="13"/>
      <c r="HY204" s="13"/>
      <c r="HZ204" s="13"/>
      <c r="IA204" s="13"/>
      <c r="IB204" s="13"/>
      <c r="IC204" s="13"/>
      <c r="ID204" s="13"/>
      <c r="IE204" s="13"/>
      <c r="IF204" s="13"/>
      <c r="IG204" s="13"/>
      <c r="IH204" s="13"/>
      <c r="II204" s="13"/>
      <c r="IJ204" s="13"/>
      <c r="IK204" s="13"/>
      <c r="IL204" s="13"/>
      <c r="IM204" s="13"/>
    </row>
    <row r="205" spans="1:247" s="10" customFormat="1" ht="60" x14ac:dyDescent="0.25">
      <c r="A205" s="18">
        <v>1</v>
      </c>
      <c r="B205" s="207" t="s">
        <v>81</v>
      </c>
      <c r="C205" s="324">
        <f t="shared" si="87"/>
        <v>3500</v>
      </c>
      <c r="D205" s="324">
        <f t="shared" si="87"/>
        <v>2333</v>
      </c>
      <c r="E205" s="324">
        <f t="shared" si="87"/>
        <v>703</v>
      </c>
      <c r="F205" s="324">
        <f t="shared" si="87"/>
        <v>30.132876125160735</v>
      </c>
      <c r="G205" s="501">
        <f t="shared" si="87"/>
        <v>9636.0949999999993</v>
      </c>
      <c r="H205" s="501">
        <f t="shared" si="87"/>
        <v>6424.06</v>
      </c>
      <c r="I205" s="501">
        <f t="shared" si="87"/>
        <v>2130.75839</v>
      </c>
      <c r="J205" s="501">
        <f t="shared" si="87"/>
        <v>33.168407362322263</v>
      </c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  <c r="DH205" s="13"/>
      <c r="DI205" s="13"/>
      <c r="DJ205" s="13"/>
      <c r="DK205" s="13"/>
      <c r="DL205" s="13"/>
      <c r="DM205" s="13"/>
      <c r="DN205" s="13"/>
      <c r="DO205" s="13"/>
      <c r="DP205" s="13"/>
      <c r="DQ205" s="13"/>
      <c r="DR205" s="13"/>
      <c r="DS205" s="13"/>
      <c r="DT205" s="13"/>
      <c r="DU205" s="13"/>
      <c r="DV205" s="13"/>
      <c r="DW205" s="13"/>
      <c r="DX205" s="13"/>
      <c r="DY205" s="13"/>
      <c r="DZ205" s="13"/>
      <c r="EA205" s="13"/>
      <c r="EB205" s="13"/>
      <c r="EC205" s="13"/>
      <c r="ED205" s="13"/>
      <c r="EE205" s="13"/>
      <c r="EF205" s="13"/>
      <c r="EG205" s="13"/>
      <c r="EH205" s="13"/>
      <c r="EI205" s="13"/>
      <c r="EJ205" s="13"/>
      <c r="EK205" s="13"/>
      <c r="EL205" s="13"/>
      <c r="EM205" s="13"/>
      <c r="EN205" s="13"/>
      <c r="EO205" s="13"/>
      <c r="EP205" s="13"/>
      <c r="EQ205" s="13"/>
      <c r="ER205" s="13"/>
      <c r="ES205" s="13"/>
      <c r="ET205" s="13"/>
      <c r="EU205" s="13"/>
      <c r="EV205" s="13"/>
      <c r="EW205" s="13"/>
      <c r="EX205" s="13"/>
      <c r="EY205" s="13"/>
      <c r="EZ205" s="13"/>
      <c r="FA205" s="13"/>
      <c r="FB205" s="13"/>
      <c r="FC205" s="13"/>
      <c r="FD205" s="13"/>
      <c r="FE205" s="13"/>
      <c r="FF205" s="13"/>
      <c r="FG205" s="13"/>
      <c r="FH205" s="13"/>
      <c r="FI205" s="13"/>
      <c r="FJ205" s="13"/>
      <c r="FK205" s="13"/>
      <c r="FL205" s="13"/>
      <c r="FM205" s="13"/>
      <c r="FN205" s="13"/>
      <c r="FO205" s="13"/>
      <c r="FP205" s="13"/>
      <c r="FQ205" s="13"/>
      <c r="FR205" s="13"/>
      <c r="FS205" s="13"/>
      <c r="FT205" s="13"/>
      <c r="FU205" s="13"/>
      <c r="FV205" s="13"/>
      <c r="FW205" s="13"/>
      <c r="FX205" s="13"/>
      <c r="FY205" s="13"/>
      <c r="FZ205" s="13"/>
      <c r="GA205" s="13"/>
      <c r="GB205" s="13"/>
      <c r="GC205" s="13"/>
      <c r="GD205" s="13"/>
      <c r="GE205" s="13"/>
      <c r="GF205" s="13"/>
      <c r="GG205" s="13"/>
      <c r="GH205" s="13"/>
      <c r="GI205" s="13"/>
      <c r="GJ205" s="13"/>
      <c r="GK205" s="13"/>
      <c r="GL205" s="13"/>
      <c r="GM205" s="13"/>
      <c r="GN205" s="13"/>
      <c r="GO205" s="13"/>
      <c r="GP205" s="13"/>
      <c r="GQ205" s="13"/>
      <c r="GR205" s="13"/>
      <c r="GS205" s="13"/>
      <c r="GT205" s="13"/>
      <c r="GU205" s="13"/>
      <c r="GV205" s="13"/>
      <c r="GW205" s="13"/>
      <c r="GX205" s="13"/>
      <c r="GY205" s="13"/>
      <c r="GZ205" s="13"/>
      <c r="HA205" s="13"/>
      <c r="HB205" s="13"/>
      <c r="HC205" s="13"/>
      <c r="HD205" s="13"/>
      <c r="HE205" s="13"/>
      <c r="HF205" s="13"/>
      <c r="HG205" s="13"/>
      <c r="HH205" s="13"/>
      <c r="HI205" s="13"/>
      <c r="HJ205" s="13"/>
      <c r="HK205" s="13"/>
      <c r="HL205" s="13"/>
      <c r="HM205" s="13"/>
      <c r="HN205" s="13"/>
      <c r="HO205" s="13"/>
      <c r="HP205" s="13"/>
      <c r="HQ205" s="13"/>
      <c r="HR205" s="13"/>
      <c r="HS205" s="13"/>
      <c r="HT205" s="13"/>
      <c r="HU205" s="13"/>
      <c r="HV205" s="13"/>
      <c r="HW205" s="13"/>
      <c r="HX205" s="13"/>
      <c r="HY205" s="13"/>
      <c r="HZ205" s="13"/>
      <c r="IA205" s="13"/>
      <c r="IB205" s="13"/>
      <c r="IC205" s="13"/>
      <c r="ID205" s="13"/>
      <c r="IE205" s="13"/>
      <c r="IF205" s="13"/>
      <c r="IG205" s="13"/>
      <c r="IH205" s="13"/>
      <c r="II205" s="13"/>
      <c r="IJ205" s="13"/>
      <c r="IK205" s="13"/>
      <c r="IL205" s="13"/>
      <c r="IM205" s="13"/>
    </row>
    <row r="206" spans="1:247" s="10" customFormat="1" ht="45" x14ac:dyDescent="0.25">
      <c r="A206" s="18">
        <v>1</v>
      </c>
      <c r="B206" s="207" t="s">
        <v>109</v>
      </c>
      <c r="C206" s="324">
        <f t="shared" si="87"/>
        <v>700</v>
      </c>
      <c r="D206" s="324">
        <f t="shared" si="87"/>
        <v>467</v>
      </c>
      <c r="E206" s="324">
        <f t="shared" si="87"/>
        <v>629</v>
      </c>
      <c r="F206" s="324">
        <f t="shared" si="87"/>
        <v>134.68950749464668</v>
      </c>
      <c r="G206" s="501">
        <f t="shared" si="87"/>
        <v>686.11199999999997</v>
      </c>
      <c r="H206" s="501">
        <f t="shared" si="87"/>
        <v>457.41</v>
      </c>
      <c r="I206" s="501">
        <f t="shared" si="87"/>
        <v>572.24267000000009</v>
      </c>
      <c r="J206" s="501">
        <f t="shared" si="87"/>
        <v>125.10497584224221</v>
      </c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  <c r="DH206" s="13"/>
      <c r="DI206" s="13"/>
      <c r="DJ206" s="13"/>
      <c r="DK206" s="13"/>
      <c r="DL206" s="13"/>
      <c r="DM206" s="13"/>
      <c r="DN206" s="13"/>
      <c r="DO206" s="13"/>
      <c r="DP206" s="13"/>
      <c r="DQ206" s="13"/>
      <c r="DR206" s="13"/>
      <c r="DS206" s="13"/>
      <c r="DT206" s="13"/>
      <c r="DU206" s="13"/>
      <c r="DV206" s="13"/>
      <c r="DW206" s="13"/>
      <c r="DX206" s="13"/>
      <c r="DY206" s="13"/>
      <c r="DZ206" s="13"/>
      <c r="EA206" s="13"/>
      <c r="EB206" s="13"/>
      <c r="EC206" s="13"/>
      <c r="ED206" s="13"/>
      <c r="EE206" s="13"/>
      <c r="EF206" s="13"/>
      <c r="EG206" s="13"/>
      <c r="EH206" s="13"/>
      <c r="EI206" s="13"/>
      <c r="EJ206" s="13"/>
      <c r="EK206" s="13"/>
      <c r="EL206" s="13"/>
      <c r="EM206" s="13"/>
      <c r="EN206" s="13"/>
      <c r="EO206" s="13"/>
      <c r="EP206" s="13"/>
      <c r="EQ206" s="13"/>
      <c r="ER206" s="13"/>
      <c r="ES206" s="13"/>
      <c r="ET206" s="13"/>
      <c r="EU206" s="13"/>
      <c r="EV206" s="13"/>
      <c r="EW206" s="13"/>
      <c r="EX206" s="13"/>
      <c r="EY206" s="13"/>
      <c r="EZ206" s="13"/>
      <c r="FA206" s="13"/>
      <c r="FB206" s="13"/>
      <c r="FC206" s="13"/>
      <c r="FD206" s="13"/>
      <c r="FE206" s="13"/>
      <c r="FF206" s="13"/>
      <c r="FG206" s="13"/>
      <c r="FH206" s="13"/>
      <c r="FI206" s="13"/>
      <c r="FJ206" s="13"/>
      <c r="FK206" s="13"/>
      <c r="FL206" s="13"/>
      <c r="FM206" s="13"/>
      <c r="FN206" s="13"/>
      <c r="FO206" s="13"/>
      <c r="FP206" s="13"/>
      <c r="FQ206" s="13"/>
      <c r="FR206" s="13"/>
      <c r="FS206" s="13"/>
      <c r="FT206" s="13"/>
      <c r="FU206" s="13"/>
      <c r="FV206" s="13"/>
      <c r="FW206" s="13"/>
      <c r="FX206" s="13"/>
      <c r="FY206" s="13"/>
      <c r="FZ206" s="13"/>
      <c r="GA206" s="13"/>
      <c r="GB206" s="13"/>
      <c r="GC206" s="13"/>
      <c r="GD206" s="13"/>
      <c r="GE206" s="13"/>
      <c r="GF206" s="13"/>
      <c r="GG206" s="13"/>
      <c r="GH206" s="13"/>
      <c r="GI206" s="13"/>
      <c r="GJ206" s="13"/>
      <c r="GK206" s="13"/>
      <c r="GL206" s="13"/>
      <c r="GM206" s="13"/>
      <c r="GN206" s="13"/>
      <c r="GO206" s="13"/>
      <c r="GP206" s="13"/>
      <c r="GQ206" s="13"/>
      <c r="GR206" s="13"/>
      <c r="GS206" s="13"/>
      <c r="GT206" s="13"/>
      <c r="GU206" s="13"/>
      <c r="GV206" s="13"/>
      <c r="GW206" s="13"/>
      <c r="GX206" s="13"/>
      <c r="GY206" s="13"/>
      <c r="GZ206" s="13"/>
      <c r="HA206" s="13"/>
      <c r="HB206" s="13"/>
      <c r="HC206" s="13"/>
      <c r="HD206" s="13"/>
      <c r="HE206" s="13"/>
      <c r="HF206" s="13"/>
      <c r="HG206" s="13"/>
      <c r="HH206" s="13"/>
      <c r="HI206" s="13"/>
      <c r="HJ206" s="13"/>
      <c r="HK206" s="13"/>
      <c r="HL206" s="13"/>
      <c r="HM206" s="13"/>
      <c r="HN206" s="13"/>
      <c r="HO206" s="13"/>
      <c r="HP206" s="13"/>
      <c r="HQ206" s="13"/>
      <c r="HR206" s="13"/>
      <c r="HS206" s="13"/>
      <c r="HT206" s="13"/>
      <c r="HU206" s="13"/>
      <c r="HV206" s="13"/>
      <c r="HW206" s="13"/>
      <c r="HX206" s="13"/>
      <c r="HY206" s="13"/>
      <c r="HZ206" s="13"/>
      <c r="IA206" s="13"/>
      <c r="IB206" s="13"/>
      <c r="IC206" s="13"/>
      <c r="ID206" s="13"/>
      <c r="IE206" s="13"/>
      <c r="IF206" s="13"/>
      <c r="IG206" s="13"/>
      <c r="IH206" s="13"/>
      <c r="II206" s="13"/>
      <c r="IJ206" s="13"/>
      <c r="IK206" s="13"/>
      <c r="IL206" s="13"/>
      <c r="IM206" s="13"/>
    </row>
    <row r="207" spans="1:247" s="10" customFormat="1" ht="30" x14ac:dyDescent="0.25">
      <c r="A207" s="18"/>
      <c r="B207" s="396" t="s">
        <v>123</v>
      </c>
      <c r="C207" s="679">
        <f t="shared" ref="C207:J208" si="88">SUM(C194)</f>
        <v>6950</v>
      </c>
      <c r="D207" s="679">
        <f t="shared" si="88"/>
        <v>4633</v>
      </c>
      <c r="E207" s="679">
        <f t="shared" si="88"/>
        <v>4870</v>
      </c>
      <c r="F207" s="679">
        <f t="shared" si="88"/>
        <v>105.1154759335204</v>
      </c>
      <c r="G207" s="679">
        <f t="shared" si="88"/>
        <v>6763.8789999999999</v>
      </c>
      <c r="H207" s="679">
        <f t="shared" si="88"/>
        <v>4509.25</v>
      </c>
      <c r="I207" s="679">
        <f t="shared" si="88"/>
        <v>4709.8475200000003</v>
      </c>
      <c r="J207" s="679">
        <f t="shared" si="88"/>
        <v>104.4485783666907</v>
      </c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  <c r="DH207" s="13"/>
      <c r="DI207" s="13"/>
      <c r="DJ207" s="13"/>
      <c r="DK207" s="13"/>
      <c r="DL207" s="13"/>
      <c r="DM207" s="13"/>
      <c r="DN207" s="13"/>
      <c r="DO207" s="13"/>
      <c r="DP207" s="13"/>
      <c r="DQ207" s="13"/>
      <c r="DR207" s="13"/>
      <c r="DS207" s="13"/>
      <c r="DT207" s="13"/>
      <c r="DU207" s="13"/>
      <c r="DV207" s="13"/>
      <c r="DW207" s="13"/>
      <c r="DX207" s="13"/>
      <c r="DY207" s="13"/>
      <c r="DZ207" s="13"/>
      <c r="EA207" s="13"/>
      <c r="EB207" s="13"/>
      <c r="EC207" s="13"/>
      <c r="ED207" s="13"/>
      <c r="EE207" s="13"/>
      <c r="EF207" s="13"/>
      <c r="EG207" s="13"/>
      <c r="EH207" s="13"/>
      <c r="EI207" s="13"/>
      <c r="EJ207" s="13"/>
      <c r="EK207" s="13"/>
      <c r="EL207" s="13"/>
      <c r="EM207" s="13"/>
      <c r="EN207" s="13"/>
      <c r="EO207" s="13"/>
      <c r="EP207" s="13"/>
      <c r="EQ207" s="13"/>
      <c r="ER207" s="13"/>
      <c r="ES207" s="13"/>
      <c r="ET207" s="13"/>
      <c r="EU207" s="13"/>
      <c r="EV207" s="13"/>
      <c r="EW207" s="13"/>
      <c r="EX207" s="13"/>
      <c r="EY207" s="13"/>
      <c r="EZ207" s="13"/>
      <c r="FA207" s="13"/>
      <c r="FB207" s="13"/>
      <c r="FC207" s="13"/>
      <c r="FD207" s="13"/>
      <c r="FE207" s="13"/>
      <c r="FF207" s="13"/>
      <c r="FG207" s="13"/>
      <c r="FH207" s="13"/>
      <c r="FI207" s="13"/>
      <c r="FJ207" s="13"/>
      <c r="FK207" s="13"/>
      <c r="FL207" s="13"/>
      <c r="FM207" s="13"/>
      <c r="FN207" s="13"/>
      <c r="FO207" s="13"/>
      <c r="FP207" s="13"/>
      <c r="FQ207" s="13"/>
      <c r="FR207" s="13"/>
      <c r="FS207" s="13"/>
      <c r="FT207" s="13"/>
      <c r="FU207" s="13"/>
      <c r="FV207" s="13"/>
      <c r="FW207" s="13"/>
      <c r="FX207" s="13"/>
      <c r="FY207" s="13"/>
      <c r="FZ207" s="13"/>
      <c r="GA207" s="13"/>
      <c r="GB207" s="13"/>
      <c r="GC207" s="13"/>
      <c r="GD207" s="13"/>
      <c r="GE207" s="13"/>
      <c r="GF207" s="13"/>
      <c r="GG207" s="13"/>
      <c r="GH207" s="13"/>
      <c r="GI207" s="13"/>
      <c r="GJ207" s="13"/>
      <c r="GK207" s="13"/>
      <c r="GL207" s="13"/>
      <c r="GM207" s="13"/>
      <c r="GN207" s="13"/>
      <c r="GO207" s="13"/>
      <c r="GP207" s="13"/>
      <c r="GQ207" s="13"/>
      <c r="GR207" s="13"/>
      <c r="GS207" s="13"/>
      <c r="GT207" s="13"/>
      <c r="GU207" s="13"/>
      <c r="GV207" s="13"/>
      <c r="GW207" s="13"/>
      <c r="GX207" s="13"/>
      <c r="GY207" s="13"/>
      <c r="GZ207" s="13"/>
      <c r="HA207" s="13"/>
      <c r="HB207" s="13"/>
      <c r="HC207" s="13"/>
      <c r="HD207" s="13"/>
      <c r="HE207" s="13"/>
      <c r="HF207" s="13"/>
      <c r="HG207" s="13"/>
      <c r="HH207" s="13"/>
      <c r="HI207" s="13"/>
      <c r="HJ207" s="13"/>
      <c r="HK207" s="13"/>
      <c r="HL207" s="13"/>
      <c r="HM207" s="13"/>
      <c r="HN207" s="13"/>
      <c r="HO207" s="13"/>
      <c r="HP207" s="13"/>
      <c r="HQ207" s="13"/>
      <c r="HR207" s="13"/>
      <c r="HS207" s="13"/>
      <c r="HT207" s="13"/>
      <c r="HU207" s="13"/>
      <c r="HV207" s="13"/>
      <c r="HW207" s="13"/>
      <c r="HX207" s="13"/>
      <c r="HY207" s="13"/>
      <c r="HZ207" s="13"/>
      <c r="IA207" s="13"/>
      <c r="IB207" s="13"/>
      <c r="IC207" s="13"/>
      <c r="ID207" s="13"/>
      <c r="IE207" s="13"/>
      <c r="IF207" s="13"/>
      <c r="IG207" s="13"/>
      <c r="IH207" s="13"/>
      <c r="II207" s="13"/>
      <c r="IJ207" s="13"/>
      <c r="IK207" s="13"/>
      <c r="IL207" s="13"/>
      <c r="IM207" s="13"/>
    </row>
    <row r="208" spans="1:247" s="10" customFormat="1" x14ac:dyDescent="0.25">
      <c r="A208" s="18"/>
      <c r="B208" s="396" t="s">
        <v>125</v>
      </c>
      <c r="C208" s="679">
        <f t="shared" si="88"/>
        <v>1850</v>
      </c>
      <c r="D208" s="679">
        <f t="shared" si="88"/>
        <v>1233</v>
      </c>
      <c r="E208" s="679">
        <f t="shared" si="88"/>
        <v>1546</v>
      </c>
      <c r="F208" s="679">
        <f t="shared" si="88"/>
        <v>125.38523925385239</v>
      </c>
      <c r="G208" s="679">
        <f t="shared" si="88"/>
        <v>1800.4569999999999</v>
      </c>
      <c r="H208" s="679">
        <f t="shared" si="88"/>
        <v>1200.3</v>
      </c>
      <c r="I208" s="679">
        <f t="shared" si="88"/>
        <v>1496.4122000000002</v>
      </c>
      <c r="J208" s="679">
        <f t="shared" si="88"/>
        <v>124.66984920436559</v>
      </c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  <c r="DH208" s="13"/>
      <c r="DI208" s="13"/>
      <c r="DJ208" s="13"/>
      <c r="DK208" s="13"/>
      <c r="DL208" s="13"/>
      <c r="DM208" s="13"/>
      <c r="DN208" s="13"/>
      <c r="DO208" s="13"/>
      <c r="DP208" s="13"/>
      <c r="DQ208" s="13"/>
      <c r="DR208" s="13"/>
      <c r="DS208" s="13"/>
      <c r="DT208" s="13"/>
      <c r="DU208" s="13"/>
      <c r="DV208" s="13"/>
      <c r="DW208" s="13"/>
      <c r="DX208" s="13"/>
      <c r="DY208" s="13"/>
      <c r="DZ208" s="13"/>
      <c r="EA208" s="13"/>
      <c r="EB208" s="13"/>
      <c r="EC208" s="13"/>
      <c r="ED208" s="13"/>
      <c r="EE208" s="13"/>
      <c r="EF208" s="13"/>
      <c r="EG208" s="13"/>
      <c r="EH208" s="13"/>
      <c r="EI208" s="13"/>
      <c r="EJ208" s="13"/>
      <c r="EK208" s="13"/>
      <c r="EL208" s="13"/>
      <c r="EM208" s="13"/>
      <c r="EN208" s="13"/>
      <c r="EO208" s="13"/>
      <c r="EP208" s="13"/>
      <c r="EQ208" s="13"/>
      <c r="ER208" s="13"/>
      <c r="ES208" s="13"/>
      <c r="ET208" s="13"/>
      <c r="EU208" s="13"/>
      <c r="EV208" s="13"/>
      <c r="EW208" s="13"/>
      <c r="EX208" s="13"/>
      <c r="EY208" s="13"/>
      <c r="EZ208" s="13"/>
      <c r="FA208" s="13"/>
      <c r="FB208" s="13"/>
      <c r="FC208" s="13"/>
      <c r="FD208" s="13"/>
      <c r="FE208" s="13"/>
      <c r="FF208" s="13"/>
      <c r="FG208" s="13"/>
      <c r="FH208" s="13"/>
      <c r="FI208" s="13"/>
      <c r="FJ208" s="13"/>
      <c r="FK208" s="13"/>
      <c r="FL208" s="13"/>
      <c r="FM208" s="13"/>
      <c r="FN208" s="13"/>
      <c r="FO208" s="13"/>
      <c r="FP208" s="13"/>
      <c r="FQ208" s="13"/>
      <c r="FR208" s="13"/>
      <c r="FS208" s="13"/>
      <c r="FT208" s="13"/>
      <c r="FU208" s="13"/>
      <c r="FV208" s="13"/>
      <c r="FW208" s="13"/>
      <c r="FX208" s="13"/>
      <c r="FY208" s="13"/>
      <c r="FZ208" s="13"/>
      <c r="GA208" s="13"/>
      <c r="GB208" s="13"/>
      <c r="GC208" s="13"/>
      <c r="GD208" s="13"/>
      <c r="GE208" s="13"/>
      <c r="GF208" s="13"/>
      <c r="GG208" s="13"/>
      <c r="GH208" s="13"/>
      <c r="GI208" s="13"/>
      <c r="GJ208" s="13"/>
      <c r="GK208" s="13"/>
      <c r="GL208" s="13"/>
      <c r="GM208" s="13"/>
      <c r="GN208" s="13"/>
      <c r="GO208" s="13"/>
      <c r="GP208" s="13"/>
      <c r="GQ208" s="13"/>
      <c r="GR208" s="13"/>
      <c r="GS208" s="13"/>
      <c r="GT208" s="13"/>
      <c r="GU208" s="13"/>
      <c r="GV208" s="13"/>
      <c r="GW208" s="13"/>
      <c r="GX208" s="13"/>
      <c r="GY208" s="13"/>
      <c r="GZ208" s="13"/>
      <c r="HA208" s="13"/>
      <c r="HB208" s="13"/>
      <c r="HC208" s="13"/>
      <c r="HD208" s="13"/>
      <c r="HE208" s="13"/>
      <c r="HF208" s="13"/>
      <c r="HG208" s="13"/>
      <c r="HH208" s="13"/>
      <c r="HI208" s="13"/>
      <c r="HJ208" s="13"/>
      <c r="HK208" s="13"/>
      <c r="HL208" s="13"/>
      <c r="HM208" s="13"/>
      <c r="HN208" s="13"/>
      <c r="HO208" s="13"/>
      <c r="HP208" s="13"/>
      <c r="HQ208" s="13"/>
      <c r="HR208" s="13"/>
      <c r="HS208" s="13"/>
      <c r="HT208" s="13"/>
      <c r="HU208" s="13"/>
      <c r="HV208" s="13"/>
      <c r="HW208" s="13"/>
      <c r="HX208" s="13"/>
      <c r="HY208" s="13"/>
      <c r="HZ208" s="13"/>
      <c r="IA208" s="13"/>
      <c r="IB208" s="13"/>
      <c r="IC208" s="13"/>
      <c r="ID208" s="13"/>
      <c r="IE208" s="13"/>
      <c r="IF208" s="13"/>
      <c r="IG208" s="13"/>
      <c r="IH208" s="13"/>
      <c r="II208" s="13"/>
      <c r="IJ208" s="13"/>
      <c r="IK208" s="13"/>
      <c r="IL208" s="13"/>
      <c r="IM208" s="13"/>
    </row>
    <row r="209" spans="1:10" ht="15.75" thickBot="1" x14ac:dyDescent="0.3">
      <c r="A209" s="18">
        <v>1</v>
      </c>
      <c r="B209" s="533" t="s">
        <v>107</v>
      </c>
      <c r="C209" s="534">
        <f t="shared" ref="C209:J209" si="89">C196</f>
        <v>0</v>
      </c>
      <c r="D209" s="534">
        <f t="shared" si="89"/>
        <v>0</v>
      </c>
      <c r="E209" s="534">
        <f t="shared" si="89"/>
        <v>0</v>
      </c>
      <c r="F209" s="534">
        <f t="shared" si="89"/>
        <v>0</v>
      </c>
      <c r="G209" s="535">
        <f t="shared" si="89"/>
        <v>24409.422749999998</v>
      </c>
      <c r="H209" s="535">
        <f t="shared" si="89"/>
        <v>16272.95</v>
      </c>
      <c r="I209" s="535">
        <f t="shared" si="89"/>
        <v>11708.239720000001</v>
      </c>
      <c r="J209" s="535">
        <f t="shared" si="89"/>
        <v>71.94909171354918</v>
      </c>
    </row>
    <row r="210" spans="1:10" ht="15.75" thickBot="1" x14ac:dyDescent="0.3">
      <c r="A210" s="18">
        <v>1</v>
      </c>
      <c r="B210" s="85" t="s">
        <v>7</v>
      </c>
      <c r="C210" s="11"/>
      <c r="D210" s="11"/>
      <c r="E210" s="253"/>
      <c r="F210" s="11"/>
      <c r="G210" s="502"/>
      <c r="H210" s="502"/>
      <c r="I210" s="503"/>
      <c r="J210" s="502"/>
    </row>
    <row r="211" spans="1:10" ht="34.5" customHeight="1" x14ac:dyDescent="0.25">
      <c r="A211" s="18">
        <v>1</v>
      </c>
      <c r="B211" s="126" t="s">
        <v>126</v>
      </c>
      <c r="C211" s="14"/>
      <c r="D211" s="14"/>
      <c r="E211" s="124"/>
      <c r="F211" s="14"/>
      <c r="G211" s="483"/>
      <c r="H211" s="483"/>
      <c r="I211" s="457"/>
      <c r="J211" s="483"/>
    </row>
    <row r="212" spans="1:10" s="35" customFormat="1" ht="30" x14ac:dyDescent="0.25">
      <c r="A212" s="18">
        <v>1</v>
      </c>
      <c r="B212" s="72" t="s">
        <v>120</v>
      </c>
      <c r="C212" s="113">
        <f>SUM(C213:C216)</f>
        <v>5336</v>
      </c>
      <c r="D212" s="113">
        <f>SUM(D213:D216)</f>
        <v>3557</v>
      </c>
      <c r="E212" s="113">
        <f>SUM(E213:E216)</f>
        <v>4114</v>
      </c>
      <c r="F212" s="113">
        <f>E212/D212*100</f>
        <v>115.65926342423391</v>
      </c>
      <c r="G212" s="465">
        <f>SUM(G213:G216)</f>
        <v>10566.555110000001</v>
      </c>
      <c r="H212" s="465">
        <f>SUM(H213:H216)</f>
        <v>7044.38</v>
      </c>
      <c r="I212" s="465">
        <f>SUM(I213:I216)</f>
        <v>7992.6827700000003</v>
      </c>
      <c r="J212" s="465">
        <f>I212/H212*100</f>
        <v>113.46183439848502</v>
      </c>
    </row>
    <row r="213" spans="1:10" s="35" customFormat="1" ht="30" x14ac:dyDescent="0.25">
      <c r="A213" s="18">
        <v>1</v>
      </c>
      <c r="B213" s="71" t="s">
        <v>79</v>
      </c>
      <c r="C213" s="113">
        <v>3917</v>
      </c>
      <c r="D213" s="107">
        <f t="shared" ref="D213:D220" si="90">ROUND(C213/12*$B$3,0)</f>
        <v>2611</v>
      </c>
      <c r="E213" s="113">
        <v>3237</v>
      </c>
      <c r="F213" s="113">
        <f>E213/D213*100</f>
        <v>123.97548831865186</v>
      </c>
      <c r="G213" s="728">
        <v>6759.01</v>
      </c>
      <c r="H213" s="638">
        <f t="shared" ref="H213:H216" si="91">ROUND(G213/12*$B$3,2)</f>
        <v>4506.01</v>
      </c>
      <c r="I213" s="465">
        <v>5295.5203300000012</v>
      </c>
      <c r="J213" s="465">
        <f t="shared" ref="J213:J222" si="92">I213/H213*100</f>
        <v>117.52127336601563</v>
      </c>
    </row>
    <row r="214" spans="1:10" s="35" customFormat="1" ht="30" x14ac:dyDescent="0.25">
      <c r="A214" s="18">
        <v>1</v>
      </c>
      <c r="B214" s="71" t="s">
        <v>80</v>
      </c>
      <c r="C214" s="113">
        <v>1175</v>
      </c>
      <c r="D214" s="107">
        <f t="shared" si="90"/>
        <v>783</v>
      </c>
      <c r="E214" s="113">
        <v>643</v>
      </c>
      <c r="F214" s="113">
        <f>E214/D214*100</f>
        <v>82.120051085568321</v>
      </c>
      <c r="G214" s="465">
        <v>2206.39759</v>
      </c>
      <c r="H214" s="638">
        <f t="shared" si="91"/>
        <v>1470.93</v>
      </c>
      <c r="I214" s="465">
        <v>1174.7598799999998</v>
      </c>
      <c r="J214" s="465">
        <f t="shared" si="92"/>
        <v>79.865111188159858</v>
      </c>
    </row>
    <row r="215" spans="1:10" s="35" customFormat="1" ht="45" x14ac:dyDescent="0.25">
      <c r="A215" s="18">
        <v>1</v>
      </c>
      <c r="B215" s="71" t="s">
        <v>114</v>
      </c>
      <c r="C215" s="113">
        <v>52</v>
      </c>
      <c r="D215" s="107">
        <f t="shared" si="90"/>
        <v>35</v>
      </c>
      <c r="E215" s="113">
        <v>56</v>
      </c>
      <c r="F215" s="113">
        <f>E215/D215*100</f>
        <v>160</v>
      </c>
      <c r="G215" s="465">
        <v>341.22816</v>
      </c>
      <c r="H215" s="638">
        <f t="shared" si="91"/>
        <v>227.49</v>
      </c>
      <c r="I215" s="465">
        <v>360.91439999999994</v>
      </c>
      <c r="J215" s="465">
        <f t="shared" si="92"/>
        <v>158.65066596333901</v>
      </c>
    </row>
    <row r="216" spans="1:10" s="35" customFormat="1" ht="30" x14ac:dyDescent="0.25">
      <c r="A216" s="18">
        <v>1</v>
      </c>
      <c r="B216" s="71" t="s">
        <v>115</v>
      </c>
      <c r="C216" s="113">
        <v>192</v>
      </c>
      <c r="D216" s="107">
        <f t="shared" si="90"/>
        <v>128</v>
      </c>
      <c r="E216" s="113">
        <v>178</v>
      </c>
      <c r="F216" s="113">
        <f t="shared" ref="F216:F220" si="93">E216/D216*100</f>
        <v>139.0625</v>
      </c>
      <c r="G216" s="465">
        <v>1259.9193599999999</v>
      </c>
      <c r="H216" s="638">
        <f t="shared" si="91"/>
        <v>839.95</v>
      </c>
      <c r="I216" s="465">
        <v>1161.4881599999999</v>
      </c>
      <c r="J216" s="465">
        <f t="shared" si="92"/>
        <v>138.28063098993985</v>
      </c>
    </row>
    <row r="217" spans="1:10" s="35" customFormat="1" ht="30" x14ac:dyDescent="0.25">
      <c r="A217" s="18">
        <v>1</v>
      </c>
      <c r="B217" s="72" t="s">
        <v>112</v>
      </c>
      <c r="C217" s="113">
        <f>SUM(C218:C220)</f>
        <v>8769</v>
      </c>
      <c r="D217" s="113">
        <f>SUM(D218:D220)</f>
        <v>5846</v>
      </c>
      <c r="E217" s="113">
        <f>SUM(E218:E220)</f>
        <v>5065</v>
      </c>
      <c r="F217" s="113">
        <f t="shared" si="93"/>
        <v>86.640437906260686</v>
      </c>
      <c r="G217" s="458">
        <f>SUM(G218:G220)</f>
        <v>22940.131579999997</v>
      </c>
      <c r="H217" s="458">
        <f>SUM(H218:H220)</f>
        <v>15293.419999999998</v>
      </c>
      <c r="I217" s="458">
        <f>SUM(I218:I220)</f>
        <v>12380.176169999999</v>
      </c>
      <c r="J217" s="465">
        <f t="shared" si="92"/>
        <v>80.950998337847253</v>
      </c>
    </row>
    <row r="218" spans="1:10" s="35" customFormat="1" ht="30" x14ac:dyDescent="0.25">
      <c r="A218" s="18">
        <v>1</v>
      </c>
      <c r="B218" s="71" t="s">
        <v>108</v>
      </c>
      <c r="C218" s="113">
        <v>2900</v>
      </c>
      <c r="D218" s="107">
        <f t="shared" si="90"/>
        <v>1933</v>
      </c>
      <c r="E218" s="113">
        <v>1587</v>
      </c>
      <c r="F218" s="113">
        <f t="shared" si="93"/>
        <v>82.100362131401965</v>
      </c>
      <c r="G218" s="465">
        <f>6149479/1000</f>
        <v>6149.4790000000003</v>
      </c>
      <c r="H218" s="638">
        <f t="shared" ref="H218:H221" si="94">ROUND(G218/12*$B$3,2)</f>
        <v>4099.6499999999996</v>
      </c>
      <c r="I218" s="465">
        <v>3362.1850299999996</v>
      </c>
      <c r="J218" s="465">
        <f t="shared" si="92"/>
        <v>82.011513909724002</v>
      </c>
    </row>
    <row r="219" spans="1:10" s="35" customFormat="1" ht="60" x14ac:dyDescent="0.25">
      <c r="A219" s="18">
        <v>1</v>
      </c>
      <c r="B219" s="71" t="s">
        <v>119</v>
      </c>
      <c r="C219" s="113">
        <v>5154</v>
      </c>
      <c r="D219" s="107">
        <f t="shared" si="90"/>
        <v>3436</v>
      </c>
      <c r="E219" s="113">
        <v>3092</v>
      </c>
      <c r="F219" s="113">
        <f t="shared" si="93"/>
        <v>89.988358556460994</v>
      </c>
      <c r="G219" s="465">
        <f>16089838.18/1000</f>
        <v>16089.838179999999</v>
      </c>
      <c r="H219" s="638">
        <f t="shared" si="94"/>
        <v>10726.56</v>
      </c>
      <c r="I219" s="465">
        <v>8668.4028899999994</v>
      </c>
      <c r="J219" s="465">
        <f t="shared" si="92"/>
        <v>80.812514823018745</v>
      </c>
    </row>
    <row r="220" spans="1:10" s="35" customFormat="1" ht="45" x14ac:dyDescent="0.25">
      <c r="A220" s="18">
        <v>1</v>
      </c>
      <c r="B220" s="71" t="s">
        <v>109</v>
      </c>
      <c r="C220" s="113">
        <v>715</v>
      </c>
      <c r="D220" s="107">
        <f t="shared" si="90"/>
        <v>477</v>
      </c>
      <c r="E220" s="113">
        <v>386</v>
      </c>
      <c r="F220" s="113">
        <f t="shared" si="93"/>
        <v>80.922431865828088</v>
      </c>
      <c r="G220" s="465">
        <f>700814.4/1000</f>
        <v>700.81439999999998</v>
      </c>
      <c r="H220" s="638">
        <f t="shared" si="94"/>
        <v>467.21</v>
      </c>
      <c r="I220" s="465">
        <v>349.58825000000002</v>
      </c>
      <c r="J220" s="465">
        <f t="shared" si="92"/>
        <v>74.824650585389875</v>
      </c>
    </row>
    <row r="221" spans="1:10" s="35" customFormat="1" ht="30" x14ac:dyDescent="0.25">
      <c r="A221" s="18"/>
      <c r="B221" s="658" t="s">
        <v>123</v>
      </c>
      <c r="C221" s="113">
        <v>12000</v>
      </c>
      <c r="D221" s="107">
        <f>ROUND(C221/12*$B$3,0)</f>
        <v>8000</v>
      </c>
      <c r="E221" s="113">
        <v>8883</v>
      </c>
      <c r="F221" s="113">
        <f>E221/D221*100</f>
        <v>111.03749999999999</v>
      </c>
      <c r="G221" s="465">
        <v>11678.64</v>
      </c>
      <c r="H221" s="638">
        <f t="shared" si="94"/>
        <v>7785.76</v>
      </c>
      <c r="I221" s="465">
        <v>8608.1912100000009</v>
      </c>
      <c r="J221" s="465">
        <f>I221/H221*100</f>
        <v>110.56327461930499</v>
      </c>
    </row>
    <row r="222" spans="1:10" s="35" customFormat="1" ht="15.75" thickBot="1" x14ac:dyDescent="0.3">
      <c r="A222" s="18">
        <v>1</v>
      </c>
      <c r="B222" s="12" t="s">
        <v>3</v>
      </c>
      <c r="C222" s="24"/>
      <c r="D222" s="24"/>
      <c r="E222" s="24"/>
      <c r="F222" s="24"/>
      <c r="G222" s="469">
        <f>G217+G212+G221</f>
        <v>45185.326690000002</v>
      </c>
      <c r="H222" s="469">
        <f>H217+H212+H221</f>
        <v>30123.559999999998</v>
      </c>
      <c r="I222" s="469">
        <f>I217+I212+I221</f>
        <v>28981.050149999999</v>
      </c>
      <c r="J222" s="469">
        <f t="shared" si="92"/>
        <v>96.207254886208673</v>
      </c>
    </row>
    <row r="223" spans="1:10" ht="29.25" x14ac:dyDescent="0.25">
      <c r="A223" s="18">
        <v>1</v>
      </c>
      <c r="B223" s="258" t="s">
        <v>97</v>
      </c>
      <c r="C223" s="256"/>
      <c r="D223" s="256"/>
      <c r="E223" s="256"/>
      <c r="F223" s="256"/>
      <c r="G223" s="504"/>
      <c r="H223" s="504"/>
      <c r="I223" s="504"/>
      <c r="J223" s="504"/>
    </row>
    <row r="224" spans="1:10" ht="30" x14ac:dyDescent="0.25">
      <c r="A224" s="18">
        <v>1</v>
      </c>
      <c r="B224" s="257" t="s">
        <v>120</v>
      </c>
      <c r="C224" s="325">
        <f t="shared" ref="C224:J232" si="95">C212</f>
        <v>5336</v>
      </c>
      <c r="D224" s="325">
        <f t="shared" si="95"/>
        <v>3557</v>
      </c>
      <c r="E224" s="325">
        <f t="shared" si="95"/>
        <v>4114</v>
      </c>
      <c r="F224" s="325">
        <f t="shared" si="95"/>
        <v>115.65926342423391</v>
      </c>
      <c r="G224" s="505">
        <f t="shared" si="95"/>
        <v>10566.555110000001</v>
      </c>
      <c r="H224" s="505">
        <f t="shared" si="95"/>
        <v>7044.38</v>
      </c>
      <c r="I224" s="505">
        <f t="shared" si="95"/>
        <v>7992.6827700000003</v>
      </c>
      <c r="J224" s="505">
        <f t="shared" si="95"/>
        <v>113.46183439848502</v>
      </c>
    </row>
    <row r="225" spans="1:10" ht="30" x14ac:dyDescent="0.25">
      <c r="A225" s="18">
        <v>1</v>
      </c>
      <c r="B225" s="131" t="s">
        <v>79</v>
      </c>
      <c r="C225" s="325">
        <f t="shared" si="95"/>
        <v>3917</v>
      </c>
      <c r="D225" s="325">
        <f t="shared" si="95"/>
        <v>2611</v>
      </c>
      <c r="E225" s="325">
        <f t="shared" si="95"/>
        <v>3237</v>
      </c>
      <c r="F225" s="325">
        <f t="shared" si="95"/>
        <v>123.97548831865186</v>
      </c>
      <c r="G225" s="505">
        <f t="shared" si="95"/>
        <v>6759.01</v>
      </c>
      <c r="H225" s="505">
        <f t="shared" si="95"/>
        <v>4506.01</v>
      </c>
      <c r="I225" s="505">
        <f t="shared" si="95"/>
        <v>5295.5203300000012</v>
      </c>
      <c r="J225" s="505">
        <f t="shared" si="95"/>
        <v>117.52127336601563</v>
      </c>
    </row>
    <row r="226" spans="1:10" ht="30" x14ac:dyDescent="0.25">
      <c r="A226" s="18">
        <v>1</v>
      </c>
      <c r="B226" s="131" t="s">
        <v>80</v>
      </c>
      <c r="C226" s="325">
        <f t="shared" si="95"/>
        <v>1175</v>
      </c>
      <c r="D226" s="325">
        <f t="shared" si="95"/>
        <v>783</v>
      </c>
      <c r="E226" s="325">
        <f t="shared" si="95"/>
        <v>643</v>
      </c>
      <c r="F226" s="325">
        <f t="shared" si="95"/>
        <v>82.120051085568321</v>
      </c>
      <c r="G226" s="505">
        <f t="shared" si="95"/>
        <v>2206.39759</v>
      </c>
      <c r="H226" s="505">
        <f t="shared" si="95"/>
        <v>1470.93</v>
      </c>
      <c r="I226" s="505">
        <f t="shared" si="95"/>
        <v>1174.7598799999998</v>
      </c>
      <c r="J226" s="505">
        <f t="shared" si="95"/>
        <v>79.865111188159858</v>
      </c>
    </row>
    <row r="227" spans="1:10" ht="45" x14ac:dyDescent="0.25">
      <c r="A227" s="18">
        <v>1</v>
      </c>
      <c r="B227" s="131" t="s">
        <v>114</v>
      </c>
      <c r="C227" s="325">
        <f t="shared" si="95"/>
        <v>52</v>
      </c>
      <c r="D227" s="325">
        <f t="shared" si="95"/>
        <v>35</v>
      </c>
      <c r="E227" s="325">
        <f t="shared" si="95"/>
        <v>56</v>
      </c>
      <c r="F227" s="325">
        <f t="shared" si="95"/>
        <v>160</v>
      </c>
      <c r="G227" s="505">
        <f t="shared" si="95"/>
        <v>341.22816</v>
      </c>
      <c r="H227" s="505">
        <f t="shared" si="95"/>
        <v>227.49</v>
      </c>
      <c r="I227" s="505">
        <f t="shared" si="95"/>
        <v>360.91439999999994</v>
      </c>
      <c r="J227" s="505">
        <f t="shared" si="95"/>
        <v>158.65066596333901</v>
      </c>
    </row>
    <row r="228" spans="1:10" ht="30" x14ac:dyDescent="0.25">
      <c r="A228" s="18">
        <v>1</v>
      </c>
      <c r="B228" s="131" t="s">
        <v>115</v>
      </c>
      <c r="C228" s="325">
        <f t="shared" si="95"/>
        <v>192</v>
      </c>
      <c r="D228" s="325">
        <f t="shared" si="95"/>
        <v>128</v>
      </c>
      <c r="E228" s="325">
        <f t="shared" si="95"/>
        <v>178</v>
      </c>
      <c r="F228" s="325">
        <f t="shared" si="95"/>
        <v>139.0625</v>
      </c>
      <c r="G228" s="505">
        <f t="shared" si="95"/>
        <v>1259.9193599999999</v>
      </c>
      <c r="H228" s="505">
        <f t="shared" si="95"/>
        <v>839.95</v>
      </c>
      <c r="I228" s="505">
        <f t="shared" si="95"/>
        <v>1161.4881599999999</v>
      </c>
      <c r="J228" s="505">
        <f t="shared" si="95"/>
        <v>138.28063098993985</v>
      </c>
    </row>
    <row r="229" spans="1:10" ht="30" x14ac:dyDescent="0.25">
      <c r="A229" s="18">
        <v>1</v>
      </c>
      <c r="B229" s="257" t="s">
        <v>112</v>
      </c>
      <c r="C229" s="325">
        <f t="shared" si="95"/>
        <v>8769</v>
      </c>
      <c r="D229" s="325">
        <f t="shared" si="95"/>
        <v>5846</v>
      </c>
      <c r="E229" s="325">
        <f t="shared" si="95"/>
        <v>5065</v>
      </c>
      <c r="F229" s="325">
        <f t="shared" si="95"/>
        <v>86.640437906260686</v>
      </c>
      <c r="G229" s="505">
        <f t="shared" si="95"/>
        <v>22940.131579999997</v>
      </c>
      <c r="H229" s="505">
        <f t="shared" si="95"/>
        <v>15293.419999999998</v>
      </c>
      <c r="I229" s="505">
        <f t="shared" si="95"/>
        <v>12380.176169999999</v>
      </c>
      <c r="J229" s="505">
        <f t="shared" si="95"/>
        <v>80.950998337847253</v>
      </c>
    </row>
    <row r="230" spans="1:10" ht="30" x14ac:dyDescent="0.25">
      <c r="A230" s="18">
        <v>1</v>
      </c>
      <c r="B230" s="131" t="s">
        <v>108</v>
      </c>
      <c r="C230" s="325">
        <f t="shared" si="95"/>
        <v>2900</v>
      </c>
      <c r="D230" s="325">
        <f t="shared" si="95"/>
        <v>1933</v>
      </c>
      <c r="E230" s="325">
        <f t="shared" si="95"/>
        <v>1587</v>
      </c>
      <c r="F230" s="325">
        <f t="shared" si="95"/>
        <v>82.100362131401965</v>
      </c>
      <c r="G230" s="505">
        <f t="shared" si="95"/>
        <v>6149.4790000000003</v>
      </c>
      <c r="H230" s="505">
        <f t="shared" si="95"/>
        <v>4099.6499999999996</v>
      </c>
      <c r="I230" s="505">
        <f t="shared" si="95"/>
        <v>3362.1850299999996</v>
      </c>
      <c r="J230" s="505">
        <f t="shared" si="95"/>
        <v>82.011513909724002</v>
      </c>
    </row>
    <row r="231" spans="1:10" ht="60" x14ac:dyDescent="0.25">
      <c r="A231" s="18">
        <v>1</v>
      </c>
      <c r="B231" s="131" t="s">
        <v>81</v>
      </c>
      <c r="C231" s="325">
        <f t="shared" si="95"/>
        <v>5154</v>
      </c>
      <c r="D231" s="325">
        <f t="shared" si="95"/>
        <v>3436</v>
      </c>
      <c r="E231" s="325">
        <f t="shared" si="95"/>
        <v>3092</v>
      </c>
      <c r="F231" s="325">
        <f t="shared" si="95"/>
        <v>89.988358556460994</v>
      </c>
      <c r="G231" s="505">
        <f t="shared" si="95"/>
        <v>16089.838179999999</v>
      </c>
      <c r="H231" s="505">
        <f t="shared" si="95"/>
        <v>10726.56</v>
      </c>
      <c r="I231" s="505">
        <f t="shared" si="95"/>
        <v>8668.4028899999994</v>
      </c>
      <c r="J231" s="505">
        <f t="shared" si="95"/>
        <v>80.812514823018745</v>
      </c>
    </row>
    <row r="232" spans="1:10" ht="45" x14ac:dyDescent="0.25">
      <c r="A232" s="18">
        <v>1</v>
      </c>
      <c r="B232" s="131" t="s">
        <v>109</v>
      </c>
      <c r="C232" s="325">
        <f t="shared" si="95"/>
        <v>715</v>
      </c>
      <c r="D232" s="325">
        <f t="shared" si="95"/>
        <v>477</v>
      </c>
      <c r="E232" s="325">
        <f t="shared" si="95"/>
        <v>386</v>
      </c>
      <c r="F232" s="325">
        <f t="shared" si="95"/>
        <v>80.922431865828088</v>
      </c>
      <c r="G232" s="505">
        <f t="shared" si="95"/>
        <v>700.81439999999998</v>
      </c>
      <c r="H232" s="505">
        <f t="shared" si="95"/>
        <v>467.21</v>
      </c>
      <c r="I232" s="505">
        <f t="shared" si="95"/>
        <v>349.58825000000002</v>
      </c>
      <c r="J232" s="505">
        <f t="shared" si="95"/>
        <v>74.824650585389875</v>
      </c>
    </row>
    <row r="233" spans="1:10" ht="30" x14ac:dyDescent="0.25">
      <c r="A233" s="18"/>
      <c r="B233" s="131" t="s">
        <v>123</v>
      </c>
      <c r="C233" s="325">
        <f t="shared" ref="C233:J233" si="96">SUM(C221)</f>
        <v>12000</v>
      </c>
      <c r="D233" s="325">
        <f t="shared" si="96"/>
        <v>8000</v>
      </c>
      <c r="E233" s="325">
        <f t="shared" si="96"/>
        <v>8883</v>
      </c>
      <c r="F233" s="325">
        <f t="shared" si="96"/>
        <v>111.03749999999999</v>
      </c>
      <c r="G233" s="325">
        <f t="shared" si="96"/>
        <v>11678.64</v>
      </c>
      <c r="H233" s="325">
        <f t="shared" si="96"/>
        <v>7785.76</v>
      </c>
      <c r="I233" s="325">
        <f t="shared" si="96"/>
        <v>8608.1912100000009</v>
      </c>
      <c r="J233" s="325">
        <f t="shared" si="96"/>
        <v>110.56327461930499</v>
      </c>
    </row>
    <row r="234" spans="1:10" x14ac:dyDescent="0.25">
      <c r="A234" s="18">
        <v>1</v>
      </c>
      <c r="B234" s="132" t="s">
        <v>4</v>
      </c>
      <c r="C234" s="130">
        <f t="shared" ref="C234:J234" si="97">C222</f>
        <v>0</v>
      </c>
      <c r="D234" s="130">
        <f t="shared" si="97"/>
        <v>0</v>
      </c>
      <c r="E234" s="130">
        <f t="shared" si="97"/>
        <v>0</v>
      </c>
      <c r="F234" s="130">
        <f t="shared" si="97"/>
        <v>0</v>
      </c>
      <c r="G234" s="506">
        <f t="shared" si="97"/>
        <v>45185.326690000002</v>
      </c>
      <c r="H234" s="506">
        <f t="shared" si="97"/>
        <v>30123.559999999998</v>
      </c>
      <c r="I234" s="506">
        <f t="shared" si="97"/>
        <v>28981.050149999999</v>
      </c>
      <c r="J234" s="506">
        <f t="shared" si="97"/>
        <v>96.207254886208673</v>
      </c>
    </row>
    <row r="235" spans="1:10" ht="15.75" thickBot="1" x14ac:dyDescent="0.3">
      <c r="A235" s="18">
        <v>1</v>
      </c>
      <c r="B235" s="85" t="s">
        <v>8</v>
      </c>
      <c r="C235" s="11"/>
      <c r="D235" s="11"/>
      <c r="E235" s="253"/>
      <c r="F235" s="11"/>
      <c r="G235" s="502"/>
      <c r="H235" s="502"/>
      <c r="I235" s="503"/>
      <c r="J235" s="502"/>
    </row>
    <row r="236" spans="1:10" ht="45.75" customHeight="1" x14ac:dyDescent="0.25">
      <c r="A236" s="18">
        <v>1</v>
      </c>
      <c r="B236" s="126" t="s">
        <v>52</v>
      </c>
      <c r="C236" s="166"/>
      <c r="D236" s="166"/>
      <c r="E236" s="166"/>
      <c r="F236" s="166"/>
      <c r="G236" s="507"/>
      <c r="H236" s="507"/>
      <c r="I236" s="507"/>
      <c r="J236" s="507"/>
    </row>
    <row r="237" spans="1:10" s="35" customFormat="1" ht="30" x14ac:dyDescent="0.25">
      <c r="A237" s="18">
        <v>1</v>
      </c>
      <c r="B237" s="72" t="s">
        <v>120</v>
      </c>
      <c r="C237" s="113">
        <f>SUM(C238:C241)</f>
        <v>4546</v>
      </c>
      <c r="D237" s="113">
        <f>SUM(D238:D241)</f>
        <v>3030</v>
      </c>
      <c r="E237" s="113">
        <f>SUM(E238:E241)</f>
        <v>3497</v>
      </c>
      <c r="F237" s="113">
        <f t="shared" ref="F237:F247" si="98">E237/D237*100</f>
        <v>115.41254125412541</v>
      </c>
      <c r="G237" s="507">
        <f>SUM(G238:G241)</f>
        <v>8110.0550999999996</v>
      </c>
      <c r="H237" s="507">
        <f>SUM(H238:H241)</f>
        <v>5406.71</v>
      </c>
      <c r="I237" s="507">
        <f>SUM(I238:I241)</f>
        <v>5875.5880099999995</v>
      </c>
      <c r="J237" s="465">
        <f t="shared" ref="J237:J249" si="99">I237/H237*100</f>
        <v>108.67215016155849</v>
      </c>
    </row>
    <row r="238" spans="1:10" s="35" customFormat="1" ht="30" x14ac:dyDescent="0.25">
      <c r="A238" s="18">
        <v>1</v>
      </c>
      <c r="B238" s="71" t="s">
        <v>79</v>
      </c>
      <c r="C238" s="113">
        <v>3338</v>
      </c>
      <c r="D238" s="107">
        <f t="shared" ref="D238:D245" si="100">ROUND(C238/12*$B$3,0)</f>
        <v>2225</v>
      </c>
      <c r="E238" s="113">
        <v>2549</v>
      </c>
      <c r="F238" s="113">
        <f t="shared" si="98"/>
        <v>114.56179775280899</v>
      </c>
      <c r="G238" s="507">
        <v>4956.8209999999999</v>
      </c>
      <c r="H238" s="638">
        <f t="shared" ref="H238:H241" si="101">ROUND(G238/12*$B$3,2)</f>
        <v>3304.55</v>
      </c>
      <c r="I238" s="507">
        <v>3681.7320500000001</v>
      </c>
      <c r="J238" s="465">
        <f t="shared" si="99"/>
        <v>111.41402157631144</v>
      </c>
    </row>
    <row r="239" spans="1:10" s="35" customFormat="1" ht="30" x14ac:dyDescent="0.25">
      <c r="A239" s="18">
        <v>1</v>
      </c>
      <c r="B239" s="71" t="s">
        <v>80</v>
      </c>
      <c r="C239" s="113">
        <v>1001</v>
      </c>
      <c r="D239" s="107">
        <f t="shared" si="100"/>
        <v>667</v>
      </c>
      <c r="E239" s="113">
        <v>831</v>
      </c>
      <c r="F239" s="113">
        <f t="shared" si="98"/>
        <v>124.58770614692654</v>
      </c>
      <c r="G239" s="507">
        <v>1794.88354</v>
      </c>
      <c r="H239" s="638">
        <f t="shared" si="101"/>
        <v>1196.5899999999999</v>
      </c>
      <c r="I239" s="507">
        <v>1439.21676</v>
      </c>
      <c r="J239" s="465">
        <f t="shared" si="99"/>
        <v>120.27651576563403</v>
      </c>
    </row>
    <row r="240" spans="1:10" s="35" customFormat="1" ht="45" x14ac:dyDescent="0.25">
      <c r="A240" s="18">
        <v>1</v>
      </c>
      <c r="B240" s="71" t="s">
        <v>114</v>
      </c>
      <c r="C240" s="113">
        <v>67</v>
      </c>
      <c r="D240" s="107">
        <f t="shared" si="100"/>
        <v>45</v>
      </c>
      <c r="E240" s="113">
        <v>16</v>
      </c>
      <c r="F240" s="113">
        <f t="shared" si="98"/>
        <v>35.555555555555557</v>
      </c>
      <c r="G240" s="507">
        <v>439.65935999999999</v>
      </c>
      <c r="H240" s="638">
        <f t="shared" si="101"/>
        <v>293.11</v>
      </c>
      <c r="I240" s="507">
        <v>104.99328</v>
      </c>
      <c r="J240" s="465">
        <f t="shared" si="99"/>
        <v>35.820436013783223</v>
      </c>
    </row>
    <row r="241" spans="1:247" s="35" customFormat="1" ht="30" x14ac:dyDescent="0.25">
      <c r="A241" s="18">
        <v>1</v>
      </c>
      <c r="B241" s="71" t="s">
        <v>115</v>
      </c>
      <c r="C241" s="113">
        <v>140</v>
      </c>
      <c r="D241" s="107">
        <f t="shared" si="100"/>
        <v>93</v>
      </c>
      <c r="E241" s="113">
        <v>101</v>
      </c>
      <c r="F241" s="113">
        <f t="shared" si="98"/>
        <v>108.6021505376344</v>
      </c>
      <c r="G241" s="507">
        <v>918.69119999999998</v>
      </c>
      <c r="H241" s="638">
        <f t="shared" si="101"/>
        <v>612.46</v>
      </c>
      <c r="I241" s="507">
        <v>649.64592000000005</v>
      </c>
      <c r="J241" s="465">
        <f t="shared" si="99"/>
        <v>106.07156712275088</v>
      </c>
    </row>
    <row r="242" spans="1:247" s="35" customFormat="1" ht="30" x14ac:dyDescent="0.25">
      <c r="A242" s="18">
        <v>1</v>
      </c>
      <c r="B242" s="72" t="s">
        <v>112</v>
      </c>
      <c r="C242" s="113">
        <f>SUM(C243:C245)</f>
        <v>8964</v>
      </c>
      <c r="D242" s="113">
        <f>SUM(D243:D245)</f>
        <v>5977</v>
      </c>
      <c r="E242" s="113">
        <f>SUM(E243:E245)</f>
        <v>5608</v>
      </c>
      <c r="F242" s="113">
        <f t="shared" si="98"/>
        <v>93.826334281412088</v>
      </c>
      <c r="G242" s="458">
        <f>SUM(G243:G245)</f>
        <v>20554.01211</v>
      </c>
      <c r="H242" s="458">
        <f>SUM(H243:H245)</f>
        <v>13702.67</v>
      </c>
      <c r="I242" s="458">
        <f>SUM(I243:I245)</f>
        <v>14329.505060000001</v>
      </c>
      <c r="J242" s="465">
        <f t="shared" si="99"/>
        <v>104.57454685838601</v>
      </c>
    </row>
    <row r="243" spans="1:247" s="35" customFormat="1" ht="30" x14ac:dyDescent="0.25">
      <c r="A243" s="18">
        <v>1</v>
      </c>
      <c r="B243" s="71" t="s">
        <v>108</v>
      </c>
      <c r="C243" s="113">
        <v>700</v>
      </c>
      <c r="D243" s="107">
        <f t="shared" si="100"/>
        <v>467</v>
      </c>
      <c r="E243" s="113">
        <v>667</v>
      </c>
      <c r="F243" s="113">
        <f t="shared" si="98"/>
        <v>142.82655246252676</v>
      </c>
      <c r="G243" s="507">
        <f>1484357/1000</f>
        <v>1484.357</v>
      </c>
      <c r="H243" s="638">
        <f t="shared" ref="H243:H248" si="102">ROUND(G243/12*$B$3,2)</f>
        <v>989.57</v>
      </c>
      <c r="I243" s="507">
        <v>1406.5152700000001</v>
      </c>
      <c r="J243" s="465">
        <f t="shared" si="99"/>
        <v>142.13398445789588</v>
      </c>
    </row>
    <row r="244" spans="1:247" s="35" customFormat="1" ht="60" x14ac:dyDescent="0.25">
      <c r="A244" s="18">
        <v>1</v>
      </c>
      <c r="B244" s="71" t="s">
        <v>119</v>
      </c>
      <c r="C244" s="113">
        <v>6187</v>
      </c>
      <c r="D244" s="107">
        <f t="shared" si="100"/>
        <v>4125</v>
      </c>
      <c r="E244" s="113">
        <v>3383</v>
      </c>
      <c r="F244" s="113">
        <f t="shared" si="98"/>
        <v>82.012121212121215</v>
      </c>
      <c r="G244" s="507">
        <f>17033862.79/1000</f>
        <v>17033.862789999999</v>
      </c>
      <c r="H244" s="638">
        <f t="shared" si="102"/>
        <v>11355.91</v>
      </c>
      <c r="I244" s="507">
        <v>11250.880670000002</v>
      </c>
      <c r="J244" s="465">
        <f t="shared" si="99"/>
        <v>99.075113046862839</v>
      </c>
    </row>
    <row r="245" spans="1:247" s="35" customFormat="1" ht="45" x14ac:dyDescent="0.25">
      <c r="A245" s="18">
        <v>1</v>
      </c>
      <c r="B245" s="71" t="s">
        <v>109</v>
      </c>
      <c r="C245" s="113">
        <v>2077</v>
      </c>
      <c r="D245" s="107">
        <f t="shared" si="100"/>
        <v>1385</v>
      </c>
      <c r="E245" s="113">
        <v>1558</v>
      </c>
      <c r="F245" s="113">
        <f t="shared" si="98"/>
        <v>112.49097472924188</v>
      </c>
      <c r="G245" s="507">
        <f>2035792.32/1000</f>
        <v>2035.79232</v>
      </c>
      <c r="H245" s="638">
        <f t="shared" si="102"/>
        <v>1357.19</v>
      </c>
      <c r="I245" s="507">
        <v>1672.1091199999998</v>
      </c>
      <c r="J245" s="465">
        <f t="shared" si="99"/>
        <v>123.20376071147001</v>
      </c>
    </row>
    <row r="246" spans="1:247" s="35" customFormat="1" ht="30" x14ac:dyDescent="0.25">
      <c r="A246" s="18"/>
      <c r="B246" s="658" t="s">
        <v>123</v>
      </c>
      <c r="C246" s="113">
        <v>9234</v>
      </c>
      <c r="D246" s="107">
        <f>ROUND(C246/12*$B$3,0)</f>
        <v>6156</v>
      </c>
      <c r="E246" s="113">
        <f>4601+E247</f>
        <v>5701</v>
      </c>
      <c r="F246" s="113">
        <f t="shared" si="98"/>
        <v>92.608836907082519</v>
      </c>
      <c r="G246" s="507">
        <v>8986.7134800000003</v>
      </c>
      <c r="H246" s="638">
        <f t="shared" si="102"/>
        <v>5991.14</v>
      </c>
      <c r="I246" s="507">
        <f>4449.33897+I247</f>
        <v>5508.4410600000001</v>
      </c>
      <c r="J246" s="465">
        <f>I246/H246*100</f>
        <v>91.943120341036931</v>
      </c>
    </row>
    <row r="247" spans="1:247" s="35" customFormat="1" ht="30" x14ac:dyDescent="0.25">
      <c r="A247" s="18"/>
      <c r="B247" s="680" t="s">
        <v>124</v>
      </c>
      <c r="C247" s="113">
        <v>910</v>
      </c>
      <c r="D247" s="107">
        <f>ROUND(C247/12*$B$3,0)</f>
        <v>607</v>
      </c>
      <c r="E247" s="113">
        <v>1100</v>
      </c>
      <c r="F247" s="113">
        <f t="shared" si="98"/>
        <v>181.21911037891269</v>
      </c>
      <c r="G247" s="507">
        <v>885.63020000000006</v>
      </c>
      <c r="H247" s="638">
        <f t="shared" si="102"/>
        <v>590.41999999999996</v>
      </c>
      <c r="I247" s="507">
        <v>1059.1020900000001</v>
      </c>
      <c r="J247" s="465">
        <f>I247/H247*100</f>
        <v>179.38113376918128</v>
      </c>
    </row>
    <row r="248" spans="1:247" s="35" customFormat="1" ht="18.75" customHeight="1" thickBot="1" x14ac:dyDescent="0.3">
      <c r="A248" s="18"/>
      <c r="B248" s="702" t="s">
        <v>125</v>
      </c>
      <c r="C248" s="174"/>
      <c r="D248" s="300">
        <f>ROUND(C248/12*$B$3,0)</f>
        <v>0</v>
      </c>
      <c r="E248" s="174"/>
      <c r="F248" s="174"/>
      <c r="G248" s="703"/>
      <c r="H248" s="639">
        <f t="shared" si="102"/>
        <v>0</v>
      </c>
      <c r="I248" s="703"/>
      <c r="J248" s="646"/>
    </row>
    <row r="249" spans="1:247" s="35" customFormat="1" ht="16.5" customHeight="1" thickBot="1" x14ac:dyDescent="0.3">
      <c r="A249" s="18">
        <v>1</v>
      </c>
      <c r="B249" s="204" t="s">
        <v>3</v>
      </c>
      <c r="C249" s="339"/>
      <c r="D249" s="339"/>
      <c r="E249" s="339"/>
      <c r="F249" s="339"/>
      <c r="G249" s="527">
        <f>G242+G237+G246</f>
        <v>37650.78069</v>
      </c>
      <c r="H249" s="527">
        <f>H242+H237+H246</f>
        <v>25100.52</v>
      </c>
      <c r="I249" s="527">
        <f>I242+I237+I246</f>
        <v>25713.534130000004</v>
      </c>
      <c r="J249" s="471">
        <f t="shared" si="99"/>
        <v>102.44223677437761</v>
      </c>
    </row>
    <row r="250" spans="1:247" x14ac:dyDescent="0.25">
      <c r="A250" s="18">
        <v>1</v>
      </c>
      <c r="B250" s="260" t="s">
        <v>98</v>
      </c>
      <c r="C250" s="261"/>
      <c r="D250" s="261"/>
      <c r="E250" s="261"/>
      <c r="F250" s="261"/>
      <c r="G250" s="508"/>
      <c r="H250" s="508"/>
      <c r="I250" s="508"/>
      <c r="J250" s="508"/>
    </row>
    <row r="251" spans="1:247" s="10" customFormat="1" ht="30" x14ac:dyDescent="0.25">
      <c r="A251" s="18">
        <v>1</v>
      </c>
      <c r="B251" s="228" t="s">
        <v>120</v>
      </c>
      <c r="C251" s="326">
        <f t="shared" ref="C251:J259" si="103">C237</f>
        <v>4546</v>
      </c>
      <c r="D251" s="326">
        <f t="shared" si="103"/>
        <v>3030</v>
      </c>
      <c r="E251" s="326">
        <f t="shared" si="103"/>
        <v>3497</v>
      </c>
      <c r="F251" s="326">
        <f t="shared" si="103"/>
        <v>115.41254125412541</v>
      </c>
      <c r="G251" s="509">
        <f t="shared" si="103"/>
        <v>8110.0550999999996</v>
      </c>
      <c r="H251" s="509">
        <f t="shared" si="103"/>
        <v>5406.71</v>
      </c>
      <c r="I251" s="509">
        <f t="shared" si="103"/>
        <v>5875.5880099999995</v>
      </c>
      <c r="J251" s="509">
        <f t="shared" si="103"/>
        <v>108.67215016155849</v>
      </c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  <c r="DH251" s="13"/>
      <c r="DI251" s="13"/>
      <c r="DJ251" s="13"/>
      <c r="DK251" s="13"/>
      <c r="DL251" s="13"/>
      <c r="DM251" s="13"/>
      <c r="DN251" s="13"/>
      <c r="DO251" s="13"/>
      <c r="DP251" s="13"/>
      <c r="DQ251" s="13"/>
      <c r="DR251" s="13"/>
      <c r="DS251" s="13"/>
      <c r="DT251" s="13"/>
      <c r="DU251" s="13"/>
      <c r="DV251" s="13"/>
      <c r="DW251" s="13"/>
      <c r="DX251" s="13"/>
      <c r="DY251" s="13"/>
      <c r="DZ251" s="13"/>
      <c r="EA251" s="13"/>
      <c r="EB251" s="13"/>
      <c r="EC251" s="13"/>
      <c r="ED251" s="13"/>
      <c r="EE251" s="13"/>
      <c r="EF251" s="13"/>
      <c r="EG251" s="13"/>
      <c r="EH251" s="13"/>
      <c r="EI251" s="13"/>
      <c r="EJ251" s="13"/>
      <c r="EK251" s="13"/>
      <c r="EL251" s="13"/>
      <c r="EM251" s="13"/>
      <c r="EN251" s="13"/>
      <c r="EO251" s="13"/>
      <c r="EP251" s="13"/>
      <c r="EQ251" s="13"/>
      <c r="ER251" s="13"/>
      <c r="ES251" s="13"/>
      <c r="ET251" s="13"/>
      <c r="EU251" s="13"/>
      <c r="EV251" s="13"/>
      <c r="EW251" s="13"/>
      <c r="EX251" s="13"/>
      <c r="EY251" s="13"/>
      <c r="EZ251" s="13"/>
      <c r="FA251" s="13"/>
      <c r="FB251" s="13"/>
      <c r="FC251" s="13"/>
      <c r="FD251" s="13"/>
      <c r="FE251" s="13"/>
      <c r="FF251" s="13"/>
      <c r="FG251" s="13"/>
      <c r="FH251" s="13"/>
      <c r="FI251" s="13"/>
      <c r="FJ251" s="13"/>
      <c r="FK251" s="13"/>
      <c r="FL251" s="13"/>
      <c r="FM251" s="13"/>
      <c r="FN251" s="13"/>
      <c r="FO251" s="13"/>
      <c r="FP251" s="13"/>
      <c r="FQ251" s="13"/>
      <c r="FR251" s="13"/>
      <c r="FS251" s="13"/>
      <c r="FT251" s="13"/>
      <c r="FU251" s="13"/>
      <c r="FV251" s="13"/>
      <c r="FW251" s="13"/>
      <c r="FX251" s="13"/>
      <c r="FY251" s="13"/>
      <c r="FZ251" s="13"/>
      <c r="GA251" s="13"/>
      <c r="GB251" s="13"/>
      <c r="GC251" s="13"/>
      <c r="GD251" s="13"/>
      <c r="GE251" s="13"/>
      <c r="GF251" s="13"/>
      <c r="GG251" s="13"/>
      <c r="GH251" s="13"/>
      <c r="GI251" s="13"/>
      <c r="GJ251" s="13"/>
      <c r="GK251" s="13"/>
      <c r="GL251" s="13"/>
      <c r="GM251" s="13"/>
      <c r="GN251" s="13"/>
      <c r="GO251" s="13"/>
      <c r="GP251" s="13"/>
      <c r="GQ251" s="13"/>
      <c r="GR251" s="13"/>
      <c r="GS251" s="13"/>
      <c r="GT251" s="13"/>
      <c r="GU251" s="13"/>
      <c r="GV251" s="13"/>
      <c r="GW251" s="13"/>
      <c r="GX251" s="13"/>
      <c r="GY251" s="13"/>
      <c r="GZ251" s="13"/>
      <c r="HA251" s="13"/>
      <c r="HB251" s="13"/>
      <c r="HC251" s="13"/>
      <c r="HD251" s="13"/>
      <c r="HE251" s="13"/>
      <c r="HF251" s="13"/>
      <c r="HG251" s="13"/>
      <c r="HH251" s="13"/>
      <c r="HI251" s="13"/>
      <c r="HJ251" s="13"/>
      <c r="HK251" s="13"/>
      <c r="HL251" s="13"/>
      <c r="HM251" s="13"/>
      <c r="HN251" s="13"/>
      <c r="HO251" s="13"/>
      <c r="HP251" s="13"/>
      <c r="HQ251" s="13"/>
      <c r="HR251" s="13"/>
      <c r="HS251" s="13"/>
      <c r="HT251" s="13"/>
      <c r="HU251" s="13"/>
      <c r="HV251" s="13"/>
      <c r="HW251" s="13"/>
      <c r="HX251" s="13"/>
      <c r="HY251" s="13"/>
      <c r="HZ251" s="13"/>
      <c r="IA251" s="13"/>
      <c r="IB251" s="13"/>
      <c r="IC251" s="13"/>
      <c r="ID251" s="13"/>
      <c r="IE251" s="13"/>
      <c r="IF251" s="13"/>
      <c r="IG251" s="13"/>
      <c r="IH251" s="13"/>
      <c r="II251" s="13"/>
      <c r="IJ251" s="13"/>
      <c r="IK251" s="13"/>
      <c r="IL251" s="13"/>
      <c r="IM251" s="13"/>
    </row>
    <row r="252" spans="1:247" s="10" customFormat="1" ht="30" x14ac:dyDescent="0.25">
      <c r="A252" s="18">
        <v>1</v>
      </c>
      <c r="B252" s="226" t="s">
        <v>79</v>
      </c>
      <c r="C252" s="326">
        <f t="shared" si="103"/>
        <v>3338</v>
      </c>
      <c r="D252" s="326">
        <f t="shared" si="103"/>
        <v>2225</v>
      </c>
      <c r="E252" s="326">
        <f t="shared" si="103"/>
        <v>2549</v>
      </c>
      <c r="F252" s="326">
        <f t="shared" si="103"/>
        <v>114.56179775280899</v>
      </c>
      <c r="G252" s="509">
        <f t="shared" si="103"/>
        <v>4956.8209999999999</v>
      </c>
      <c r="H252" s="509">
        <f t="shared" si="103"/>
        <v>3304.55</v>
      </c>
      <c r="I252" s="509">
        <f t="shared" si="103"/>
        <v>3681.7320500000001</v>
      </c>
      <c r="J252" s="509">
        <f t="shared" si="103"/>
        <v>111.41402157631144</v>
      </c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  <c r="DH252" s="13"/>
      <c r="DI252" s="13"/>
      <c r="DJ252" s="13"/>
      <c r="DK252" s="13"/>
      <c r="DL252" s="13"/>
      <c r="DM252" s="13"/>
      <c r="DN252" s="13"/>
      <c r="DO252" s="13"/>
      <c r="DP252" s="13"/>
      <c r="DQ252" s="13"/>
      <c r="DR252" s="13"/>
      <c r="DS252" s="13"/>
      <c r="DT252" s="13"/>
      <c r="DU252" s="13"/>
      <c r="DV252" s="13"/>
      <c r="DW252" s="13"/>
      <c r="DX252" s="13"/>
      <c r="DY252" s="13"/>
      <c r="DZ252" s="13"/>
      <c r="EA252" s="13"/>
      <c r="EB252" s="13"/>
      <c r="EC252" s="13"/>
      <c r="ED252" s="13"/>
      <c r="EE252" s="13"/>
      <c r="EF252" s="13"/>
      <c r="EG252" s="13"/>
      <c r="EH252" s="13"/>
      <c r="EI252" s="13"/>
      <c r="EJ252" s="13"/>
      <c r="EK252" s="13"/>
      <c r="EL252" s="13"/>
      <c r="EM252" s="13"/>
      <c r="EN252" s="13"/>
      <c r="EO252" s="13"/>
      <c r="EP252" s="13"/>
      <c r="EQ252" s="13"/>
      <c r="ER252" s="13"/>
      <c r="ES252" s="13"/>
      <c r="ET252" s="13"/>
      <c r="EU252" s="13"/>
      <c r="EV252" s="13"/>
      <c r="EW252" s="13"/>
      <c r="EX252" s="13"/>
      <c r="EY252" s="13"/>
      <c r="EZ252" s="13"/>
      <c r="FA252" s="13"/>
      <c r="FB252" s="13"/>
      <c r="FC252" s="13"/>
      <c r="FD252" s="13"/>
      <c r="FE252" s="13"/>
      <c r="FF252" s="13"/>
      <c r="FG252" s="13"/>
      <c r="FH252" s="13"/>
      <c r="FI252" s="13"/>
      <c r="FJ252" s="13"/>
      <c r="FK252" s="13"/>
      <c r="FL252" s="13"/>
      <c r="FM252" s="13"/>
      <c r="FN252" s="13"/>
      <c r="FO252" s="13"/>
      <c r="FP252" s="13"/>
      <c r="FQ252" s="13"/>
      <c r="FR252" s="13"/>
      <c r="FS252" s="13"/>
      <c r="FT252" s="13"/>
      <c r="FU252" s="13"/>
      <c r="FV252" s="13"/>
      <c r="FW252" s="13"/>
      <c r="FX252" s="13"/>
      <c r="FY252" s="13"/>
      <c r="FZ252" s="13"/>
      <c r="GA252" s="13"/>
      <c r="GB252" s="13"/>
      <c r="GC252" s="13"/>
      <c r="GD252" s="13"/>
      <c r="GE252" s="13"/>
      <c r="GF252" s="13"/>
      <c r="GG252" s="13"/>
      <c r="GH252" s="13"/>
      <c r="GI252" s="13"/>
      <c r="GJ252" s="13"/>
      <c r="GK252" s="13"/>
      <c r="GL252" s="13"/>
      <c r="GM252" s="13"/>
      <c r="GN252" s="13"/>
      <c r="GO252" s="13"/>
      <c r="GP252" s="13"/>
      <c r="GQ252" s="13"/>
      <c r="GR252" s="13"/>
      <c r="GS252" s="13"/>
      <c r="GT252" s="13"/>
      <c r="GU252" s="13"/>
      <c r="GV252" s="13"/>
      <c r="GW252" s="13"/>
      <c r="GX252" s="13"/>
      <c r="GY252" s="13"/>
      <c r="GZ252" s="13"/>
      <c r="HA252" s="13"/>
      <c r="HB252" s="13"/>
      <c r="HC252" s="13"/>
      <c r="HD252" s="13"/>
      <c r="HE252" s="13"/>
      <c r="HF252" s="13"/>
      <c r="HG252" s="13"/>
      <c r="HH252" s="13"/>
      <c r="HI252" s="13"/>
      <c r="HJ252" s="13"/>
      <c r="HK252" s="13"/>
      <c r="HL252" s="13"/>
      <c r="HM252" s="13"/>
      <c r="HN252" s="13"/>
      <c r="HO252" s="13"/>
      <c r="HP252" s="13"/>
      <c r="HQ252" s="13"/>
      <c r="HR252" s="13"/>
      <c r="HS252" s="13"/>
      <c r="HT252" s="13"/>
      <c r="HU252" s="13"/>
      <c r="HV252" s="13"/>
      <c r="HW252" s="13"/>
      <c r="HX252" s="13"/>
      <c r="HY252" s="13"/>
      <c r="HZ252" s="13"/>
      <c r="IA252" s="13"/>
      <c r="IB252" s="13"/>
      <c r="IC252" s="13"/>
      <c r="ID252" s="13"/>
      <c r="IE252" s="13"/>
      <c r="IF252" s="13"/>
      <c r="IG252" s="13"/>
      <c r="IH252" s="13"/>
      <c r="II252" s="13"/>
      <c r="IJ252" s="13"/>
      <c r="IK252" s="13"/>
      <c r="IL252" s="13"/>
      <c r="IM252" s="13"/>
    </row>
    <row r="253" spans="1:247" s="10" customFormat="1" ht="30" x14ac:dyDescent="0.25">
      <c r="A253" s="18">
        <v>1</v>
      </c>
      <c r="B253" s="226" t="s">
        <v>80</v>
      </c>
      <c r="C253" s="326">
        <f t="shared" si="103"/>
        <v>1001</v>
      </c>
      <c r="D253" s="326">
        <f t="shared" si="103"/>
        <v>667</v>
      </c>
      <c r="E253" s="326">
        <f t="shared" si="103"/>
        <v>831</v>
      </c>
      <c r="F253" s="326">
        <f t="shared" si="103"/>
        <v>124.58770614692654</v>
      </c>
      <c r="G253" s="509">
        <f t="shared" si="103"/>
        <v>1794.88354</v>
      </c>
      <c r="H253" s="509">
        <f t="shared" si="103"/>
        <v>1196.5899999999999</v>
      </c>
      <c r="I253" s="509">
        <f t="shared" si="103"/>
        <v>1439.21676</v>
      </c>
      <c r="J253" s="509">
        <f t="shared" si="103"/>
        <v>120.27651576563403</v>
      </c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  <c r="DH253" s="13"/>
      <c r="DI253" s="13"/>
      <c r="DJ253" s="13"/>
      <c r="DK253" s="13"/>
      <c r="DL253" s="13"/>
      <c r="DM253" s="13"/>
      <c r="DN253" s="13"/>
      <c r="DO253" s="13"/>
      <c r="DP253" s="13"/>
      <c r="DQ253" s="13"/>
      <c r="DR253" s="13"/>
      <c r="DS253" s="13"/>
      <c r="DT253" s="13"/>
      <c r="DU253" s="13"/>
      <c r="DV253" s="13"/>
      <c r="DW253" s="13"/>
      <c r="DX253" s="13"/>
      <c r="DY253" s="13"/>
      <c r="DZ253" s="13"/>
      <c r="EA253" s="13"/>
      <c r="EB253" s="13"/>
      <c r="EC253" s="13"/>
      <c r="ED253" s="13"/>
      <c r="EE253" s="13"/>
      <c r="EF253" s="13"/>
      <c r="EG253" s="13"/>
      <c r="EH253" s="13"/>
      <c r="EI253" s="13"/>
      <c r="EJ253" s="13"/>
      <c r="EK253" s="13"/>
      <c r="EL253" s="13"/>
      <c r="EM253" s="13"/>
      <c r="EN253" s="13"/>
      <c r="EO253" s="13"/>
      <c r="EP253" s="13"/>
      <c r="EQ253" s="13"/>
      <c r="ER253" s="13"/>
      <c r="ES253" s="13"/>
      <c r="ET253" s="13"/>
      <c r="EU253" s="13"/>
      <c r="EV253" s="13"/>
      <c r="EW253" s="13"/>
      <c r="EX253" s="13"/>
      <c r="EY253" s="13"/>
      <c r="EZ253" s="13"/>
      <c r="FA253" s="13"/>
      <c r="FB253" s="13"/>
      <c r="FC253" s="13"/>
      <c r="FD253" s="13"/>
      <c r="FE253" s="13"/>
      <c r="FF253" s="13"/>
      <c r="FG253" s="13"/>
      <c r="FH253" s="13"/>
      <c r="FI253" s="13"/>
      <c r="FJ253" s="13"/>
      <c r="FK253" s="13"/>
      <c r="FL253" s="13"/>
      <c r="FM253" s="13"/>
      <c r="FN253" s="13"/>
      <c r="FO253" s="13"/>
      <c r="FP253" s="13"/>
      <c r="FQ253" s="13"/>
      <c r="FR253" s="13"/>
      <c r="FS253" s="13"/>
      <c r="FT253" s="13"/>
      <c r="FU253" s="13"/>
      <c r="FV253" s="13"/>
      <c r="FW253" s="13"/>
      <c r="FX253" s="13"/>
      <c r="FY253" s="13"/>
      <c r="FZ253" s="13"/>
      <c r="GA253" s="13"/>
      <c r="GB253" s="13"/>
      <c r="GC253" s="13"/>
      <c r="GD253" s="13"/>
      <c r="GE253" s="13"/>
      <c r="GF253" s="13"/>
      <c r="GG253" s="13"/>
      <c r="GH253" s="13"/>
      <c r="GI253" s="13"/>
      <c r="GJ253" s="13"/>
      <c r="GK253" s="13"/>
      <c r="GL253" s="13"/>
      <c r="GM253" s="13"/>
      <c r="GN253" s="13"/>
      <c r="GO253" s="13"/>
      <c r="GP253" s="13"/>
      <c r="GQ253" s="13"/>
      <c r="GR253" s="13"/>
      <c r="GS253" s="13"/>
      <c r="GT253" s="13"/>
      <c r="GU253" s="13"/>
      <c r="GV253" s="13"/>
      <c r="GW253" s="13"/>
      <c r="GX253" s="13"/>
      <c r="GY253" s="13"/>
      <c r="GZ253" s="13"/>
      <c r="HA253" s="13"/>
      <c r="HB253" s="13"/>
      <c r="HC253" s="13"/>
      <c r="HD253" s="13"/>
      <c r="HE253" s="13"/>
      <c r="HF253" s="13"/>
      <c r="HG253" s="13"/>
      <c r="HH253" s="13"/>
      <c r="HI253" s="13"/>
      <c r="HJ253" s="13"/>
      <c r="HK253" s="13"/>
      <c r="HL253" s="13"/>
      <c r="HM253" s="13"/>
      <c r="HN253" s="13"/>
      <c r="HO253" s="13"/>
      <c r="HP253" s="13"/>
      <c r="HQ253" s="13"/>
      <c r="HR253" s="13"/>
      <c r="HS253" s="13"/>
      <c r="HT253" s="13"/>
      <c r="HU253" s="13"/>
      <c r="HV253" s="13"/>
      <c r="HW253" s="13"/>
      <c r="HX253" s="13"/>
      <c r="HY253" s="13"/>
      <c r="HZ253" s="13"/>
      <c r="IA253" s="13"/>
      <c r="IB253" s="13"/>
      <c r="IC253" s="13"/>
      <c r="ID253" s="13"/>
      <c r="IE253" s="13"/>
      <c r="IF253" s="13"/>
      <c r="IG253" s="13"/>
      <c r="IH253" s="13"/>
      <c r="II253" s="13"/>
      <c r="IJ253" s="13"/>
      <c r="IK253" s="13"/>
      <c r="IL253" s="13"/>
      <c r="IM253" s="13"/>
    </row>
    <row r="254" spans="1:247" s="10" customFormat="1" ht="45" x14ac:dyDescent="0.25">
      <c r="A254" s="18">
        <v>1</v>
      </c>
      <c r="B254" s="226" t="s">
        <v>114</v>
      </c>
      <c r="C254" s="326">
        <f t="shared" si="103"/>
        <v>67</v>
      </c>
      <c r="D254" s="326">
        <f t="shared" si="103"/>
        <v>45</v>
      </c>
      <c r="E254" s="326">
        <f t="shared" si="103"/>
        <v>16</v>
      </c>
      <c r="F254" s="326">
        <f t="shared" si="103"/>
        <v>35.555555555555557</v>
      </c>
      <c r="G254" s="509">
        <f t="shared" si="103"/>
        <v>439.65935999999999</v>
      </c>
      <c r="H254" s="509">
        <f t="shared" si="103"/>
        <v>293.11</v>
      </c>
      <c r="I254" s="509">
        <f t="shared" si="103"/>
        <v>104.99328</v>
      </c>
      <c r="J254" s="509">
        <f t="shared" si="103"/>
        <v>35.820436013783223</v>
      </c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  <c r="DH254" s="13"/>
      <c r="DI254" s="13"/>
      <c r="DJ254" s="13"/>
      <c r="DK254" s="13"/>
      <c r="DL254" s="13"/>
      <c r="DM254" s="13"/>
      <c r="DN254" s="13"/>
      <c r="DO254" s="13"/>
      <c r="DP254" s="13"/>
      <c r="DQ254" s="13"/>
      <c r="DR254" s="13"/>
      <c r="DS254" s="13"/>
      <c r="DT254" s="13"/>
      <c r="DU254" s="13"/>
      <c r="DV254" s="13"/>
      <c r="DW254" s="13"/>
      <c r="DX254" s="13"/>
      <c r="DY254" s="13"/>
      <c r="DZ254" s="13"/>
      <c r="EA254" s="13"/>
      <c r="EB254" s="13"/>
      <c r="EC254" s="13"/>
      <c r="ED254" s="13"/>
      <c r="EE254" s="13"/>
      <c r="EF254" s="13"/>
      <c r="EG254" s="13"/>
      <c r="EH254" s="13"/>
      <c r="EI254" s="13"/>
      <c r="EJ254" s="13"/>
      <c r="EK254" s="13"/>
      <c r="EL254" s="13"/>
      <c r="EM254" s="13"/>
      <c r="EN254" s="13"/>
      <c r="EO254" s="13"/>
      <c r="EP254" s="13"/>
      <c r="EQ254" s="13"/>
      <c r="ER254" s="13"/>
      <c r="ES254" s="13"/>
      <c r="ET254" s="13"/>
      <c r="EU254" s="13"/>
      <c r="EV254" s="13"/>
      <c r="EW254" s="13"/>
      <c r="EX254" s="13"/>
      <c r="EY254" s="13"/>
      <c r="EZ254" s="13"/>
      <c r="FA254" s="13"/>
      <c r="FB254" s="13"/>
      <c r="FC254" s="13"/>
      <c r="FD254" s="13"/>
      <c r="FE254" s="13"/>
      <c r="FF254" s="13"/>
      <c r="FG254" s="13"/>
      <c r="FH254" s="13"/>
      <c r="FI254" s="13"/>
      <c r="FJ254" s="13"/>
      <c r="FK254" s="13"/>
      <c r="FL254" s="13"/>
      <c r="FM254" s="13"/>
      <c r="FN254" s="13"/>
      <c r="FO254" s="13"/>
      <c r="FP254" s="13"/>
      <c r="FQ254" s="13"/>
      <c r="FR254" s="13"/>
      <c r="FS254" s="13"/>
      <c r="FT254" s="13"/>
      <c r="FU254" s="13"/>
      <c r="FV254" s="13"/>
      <c r="FW254" s="13"/>
      <c r="FX254" s="13"/>
      <c r="FY254" s="13"/>
      <c r="FZ254" s="13"/>
      <c r="GA254" s="13"/>
      <c r="GB254" s="13"/>
      <c r="GC254" s="13"/>
      <c r="GD254" s="13"/>
      <c r="GE254" s="13"/>
      <c r="GF254" s="13"/>
      <c r="GG254" s="13"/>
      <c r="GH254" s="13"/>
      <c r="GI254" s="13"/>
      <c r="GJ254" s="13"/>
      <c r="GK254" s="13"/>
      <c r="GL254" s="13"/>
      <c r="GM254" s="13"/>
      <c r="GN254" s="13"/>
      <c r="GO254" s="13"/>
      <c r="GP254" s="13"/>
      <c r="GQ254" s="13"/>
      <c r="GR254" s="13"/>
      <c r="GS254" s="13"/>
      <c r="GT254" s="13"/>
      <c r="GU254" s="13"/>
      <c r="GV254" s="13"/>
      <c r="GW254" s="13"/>
      <c r="GX254" s="13"/>
      <c r="GY254" s="13"/>
      <c r="GZ254" s="13"/>
      <c r="HA254" s="13"/>
      <c r="HB254" s="13"/>
      <c r="HC254" s="13"/>
      <c r="HD254" s="13"/>
      <c r="HE254" s="13"/>
      <c r="HF254" s="13"/>
      <c r="HG254" s="13"/>
      <c r="HH254" s="13"/>
      <c r="HI254" s="13"/>
      <c r="HJ254" s="13"/>
      <c r="HK254" s="13"/>
      <c r="HL254" s="13"/>
      <c r="HM254" s="13"/>
      <c r="HN254" s="13"/>
      <c r="HO254" s="13"/>
      <c r="HP254" s="13"/>
      <c r="HQ254" s="13"/>
      <c r="HR254" s="13"/>
      <c r="HS254" s="13"/>
      <c r="HT254" s="13"/>
      <c r="HU254" s="13"/>
      <c r="HV254" s="13"/>
      <c r="HW254" s="13"/>
      <c r="HX254" s="13"/>
      <c r="HY254" s="13"/>
      <c r="HZ254" s="13"/>
      <c r="IA254" s="13"/>
      <c r="IB254" s="13"/>
      <c r="IC254" s="13"/>
      <c r="ID254" s="13"/>
      <c r="IE254" s="13"/>
      <c r="IF254" s="13"/>
      <c r="IG254" s="13"/>
      <c r="IH254" s="13"/>
      <c r="II254" s="13"/>
      <c r="IJ254" s="13"/>
      <c r="IK254" s="13"/>
      <c r="IL254" s="13"/>
      <c r="IM254" s="13"/>
    </row>
    <row r="255" spans="1:247" s="10" customFormat="1" ht="30" x14ac:dyDescent="0.25">
      <c r="A255" s="18">
        <v>1</v>
      </c>
      <c r="B255" s="226" t="s">
        <v>115</v>
      </c>
      <c r="C255" s="326">
        <f t="shared" si="103"/>
        <v>140</v>
      </c>
      <c r="D255" s="326">
        <f t="shared" si="103"/>
        <v>93</v>
      </c>
      <c r="E255" s="326">
        <f t="shared" si="103"/>
        <v>101</v>
      </c>
      <c r="F255" s="326">
        <f t="shared" si="103"/>
        <v>108.6021505376344</v>
      </c>
      <c r="G255" s="509">
        <f t="shared" si="103"/>
        <v>918.69119999999998</v>
      </c>
      <c r="H255" s="509">
        <f t="shared" si="103"/>
        <v>612.46</v>
      </c>
      <c r="I255" s="509">
        <f t="shared" si="103"/>
        <v>649.64592000000005</v>
      </c>
      <c r="J255" s="509">
        <f t="shared" si="103"/>
        <v>106.07156712275088</v>
      </c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  <c r="DH255" s="13"/>
      <c r="DI255" s="13"/>
      <c r="DJ255" s="13"/>
      <c r="DK255" s="13"/>
      <c r="DL255" s="13"/>
      <c r="DM255" s="13"/>
      <c r="DN255" s="13"/>
      <c r="DO255" s="13"/>
      <c r="DP255" s="13"/>
      <c r="DQ255" s="13"/>
      <c r="DR255" s="13"/>
      <c r="DS255" s="13"/>
      <c r="DT255" s="13"/>
      <c r="DU255" s="13"/>
      <c r="DV255" s="13"/>
      <c r="DW255" s="13"/>
      <c r="DX255" s="13"/>
      <c r="DY255" s="13"/>
      <c r="DZ255" s="13"/>
      <c r="EA255" s="13"/>
      <c r="EB255" s="13"/>
      <c r="EC255" s="13"/>
      <c r="ED255" s="13"/>
      <c r="EE255" s="13"/>
      <c r="EF255" s="13"/>
      <c r="EG255" s="13"/>
      <c r="EH255" s="13"/>
      <c r="EI255" s="13"/>
      <c r="EJ255" s="13"/>
      <c r="EK255" s="13"/>
      <c r="EL255" s="13"/>
      <c r="EM255" s="13"/>
      <c r="EN255" s="13"/>
      <c r="EO255" s="13"/>
      <c r="EP255" s="13"/>
      <c r="EQ255" s="13"/>
      <c r="ER255" s="13"/>
      <c r="ES255" s="13"/>
      <c r="ET255" s="13"/>
      <c r="EU255" s="13"/>
      <c r="EV255" s="13"/>
      <c r="EW255" s="13"/>
      <c r="EX255" s="13"/>
      <c r="EY255" s="13"/>
      <c r="EZ255" s="13"/>
      <c r="FA255" s="13"/>
      <c r="FB255" s="13"/>
      <c r="FC255" s="13"/>
      <c r="FD255" s="13"/>
      <c r="FE255" s="13"/>
      <c r="FF255" s="13"/>
      <c r="FG255" s="13"/>
      <c r="FH255" s="13"/>
      <c r="FI255" s="13"/>
      <c r="FJ255" s="13"/>
      <c r="FK255" s="13"/>
      <c r="FL255" s="13"/>
      <c r="FM255" s="13"/>
      <c r="FN255" s="13"/>
      <c r="FO255" s="13"/>
      <c r="FP255" s="13"/>
      <c r="FQ255" s="13"/>
      <c r="FR255" s="13"/>
      <c r="FS255" s="13"/>
      <c r="FT255" s="13"/>
      <c r="FU255" s="13"/>
      <c r="FV255" s="13"/>
      <c r="FW255" s="13"/>
      <c r="FX255" s="13"/>
      <c r="FY255" s="13"/>
      <c r="FZ255" s="13"/>
      <c r="GA255" s="13"/>
      <c r="GB255" s="13"/>
      <c r="GC255" s="13"/>
      <c r="GD255" s="13"/>
      <c r="GE255" s="13"/>
      <c r="GF255" s="13"/>
      <c r="GG255" s="13"/>
      <c r="GH255" s="13"/>
      <c r="GI255" s="13"/>
      <c r="GJ255" s="13"/>
      <c r="GK255" s="13"/>
      <c r="GL255" s="13"/>
      <c r="GM255" s="13"/>
      <c r="GN255" s="13"/>
      <c r="GO255" s="13"/>
      <c r="GP255" s="13"/>
      <c r="GQ255" s="13"/>
      <c r="GR255" s="13"/>
      <c r="GS255" s="13"/>
      <c r="GT255" s="13"/>
      <c r="GU255" s="13"/>
      <c r="GV255" s="13"/>
      <c r="GW255" s="13"/>
      <c r="GX255" s="13"/>
      <c r="GY255" s="13"/>
      <c r="GZ255" s="13"/>
      <c r="HA255" s="13"/>
      <c r="HB255" s="13"/>
      <c r="HC255" s="13"/>
      <c r="HD255" s="13"/>
      <c r="HE255" s="13"/>
      <c r="HF255" s="13"/>
      <c r="HG255" s="13"/>
      <c r="HH255" s="13"/>
      <c r="HI255" s="13"/>
      <c r="HJ255" s="13"/>
      <c r="HK255" s="13"/>
      <c r="HL255" s="13"/>
      <c r="HM255" s="13"/>
      <c r="HN255" s="13"/>
      <c r="HO255" s="13"/>
      <c r="HP255" s="13"/>
      <c r="HQ255" s="13"/>
      <c r="HR255" s="13"/>
      <c r="HS255" s="13"/>
      <c r="HT255" s="13"/>
      <c r="HU255" s="13"/>
      <c r="HV255" s="13"/>
      <c r="HW255" s="13"/>
      <c r="HX255" s="13"/>
      <c r="HY255" s="13"/>
      <c r="HZ255" s="13"/>
      <c r="IA255" s="13"/>
      <c r="IB255" s="13"/>
      <c r="IC255" s="13"/>
      <c r="ID255" s="13"/>
      <c r="IE255" s="13"/>
      <c r="IF255" s="13"/>
      <c r="IG255" s="13"/>
      <c r="IH255" s="13"/>
      <c r="II255" s="13"/>
      <c r="IJ255" s="13"/>
      <c r="IK255" s="13"/>
      <c r="IL255" s="13"/>
      <c r="IM255" s="13"/>
    </row>
    <row r="256" spans="1:247" s="10" customFormat="1" ht="30" x14ac:dyDescent="0.25">
      <c r="A256" s="18">
        <v>1</v>
      </c>
      <c r="B256" s="228" t="s">
        <v>112</v>
      </c>
      <c r="C256" s="326">
        <f t="shared" si="103"/>
        <v>8964</v>
      </c>
      <c r="D256" s="326">
        <f t="shared" si="103"/>
        <v>5977</v>
      </c>
      <c r="E256" s="326">
        <f t="shared" si="103"/>
        <v>5608</v>
      </c>
      <c r="F256" s="326">
        <f t="shared" si="103"/>
        <v>93.826334281412088</v>
      </c>
      <c r="G256" s="509">
        <f t="shared" si="103"/>
        <v>20554.01211</v>
      </c>
      <c r="H256" s="509">
        <f t="shared" si="103"/>
        <v>13702.67</v>
      </c>
      <c r="I256" s="509">
        <f t="shared" si="103"/>
        <v>14329.505060000001</v>
      </c>
      <c r="J256" s="509">
        <f t="shared" si="103"/>
        <v>104.57454685838601</v>
      </c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  <c r="DH256" s="13"/>
      <c r="DI256" s="13"/>
      <c r="DJ256" s="13"/>
      <c r="DK256" s="13"/>
      <c r="DL256" s="13"/>
      <c r="DM256" s="13"/>
      <c r="DN256" s="13"/>
      <c r="DO256" s="13"/>
      <c r="DP256" s="13"/>
      <c r="DQ256" s="13"/>
      <c r="DR256" s="13"/>
      <c r="DS256" s="13"/>
      <c r="DT256" s="13"/>
      <c r="DU256" s="13"/>
      <c r="DV256" s="13"/>
      <c r="DW256" s="13"/>
      <c r="DX256" s="13"/>
      <c r="DY256" s="13"/>
      <c r="DZ256" s="13"/>
      <c r="EA256" s="13"/>
      <c r="EB256" s="13"/>
      <c r="EC256" s="13"/>
      <c r="ED256" s="13"/>
      <c r="EE256" s="13"/>
      <c r="EF256" s="13"/>
      <c r="EG256" s="13"/>
      <c r="EH256" s="13"/>
      <c r="EI256" s="13"/>
      <c r="EJ256" s="13"/>
      <c r="EK256" s="13"/>
      <c r="EL256" s="13"/>
      <c r="EM256" s="13"/>
      <c r="EN256" s="13"/>
      <c r="EO256" s="13"/>
      <c r="EP256" s="13"/>
      <c r="EQ256" s="13"/>
      <c r="ER256" s="13"/>
      <c r="ES256" s="13"/>
      <c r="ET256" s="13"/>
      <c r="EU256" s="13"/>
      <c r="EV256" s="13"/>
      <c r="EW256" s="13"/>
      <c r="EX256" s="13"/>
      <c r="EY256" s="13"/>
      <c r="EZ256" s="13"/>
      <c r="FA256" s="13"/>
      <c r="FB256" s="13"/>
      <c r="FC256" s="13"/>
      <c r="FD256" s="13"/>
      <c r="FE256" s="13"/>
      <c r="FF256" s="13"/>
      <c r="FG256" s="13"/>
      <c r="FH256" s="13"/>
      <c r="FI256" s="13"/>
      <c r="FJ256" s="13"/>
      <c r="FK256" s="13"/>
      <c r="FL256" s="13"/>
      <c r="FM256" s="13"/>
      <c r="FN256" s="13"/>
      <c r="FO256" s="13"/>
      <c r="FP256" s="13"/>
      <c r="FQ256" s="13"/>
      <c r="FR256" s="13"/>
      <c r="FS256" s="13"/>
      <c r="FT256" s="13"/>
      <c r="FU256" s="13"/>
      <c r="FV256" s="13"/>
      <c r="FW256" s="13"/>
      <c r="FX256" s="13"/>
      <c r="FY256" s="13"/>
      <c r="FZ256" s="13"/>
      <c r="GA256" s="13"/>
      <c r="GB256" s="13"/>
      <c r="GC256" s="13"/>
      <c r="GD256" s="13"/>
      <c r="GE256" s="13"/>
      <c r="GF256" s="13"/>
      <c r="GG256" s="13"/>
      <c r="GH256" s="13"/>
      <c r="GI256" s="13"/>
      <c r="GJ256" s="13"/>
      <c r="GK256" s="13"/>
      <c r="GL256" s="13"/>
      <c r="GM256" s="13"/>
      <c r="GN256" s="13"/>
      <c r="GO256" s="13"/>
      <c r="GP256" s="13"/>
      <c r="GQ256" s="13"/>
      <c r="GR256" s="13"/>
      <c r="GS256" s="13"/>
      <c r="GT256" s="13"/>
      <c r="GU256" s="13"/>
      <c r="GV256" s="13"/>
      <c r="GW256" s="13"/>
      <c r="GX256" s="13"/>
      <c r="GY256" s="13"/>
      <c r="GZ256" s="13"/>
      <c r="HA256" s="13"/>
      <c r="HB256" s="13"/>
      <c r="HC256" s="13"/>
      <c r="HD256" s="13"/>
      <c r="HE256" s="13"/>
      <c r="HF256" s="13"/>
      <c r="HG256" s="13"/>
      <c r="HH256" s="13"/>
      <c r="HI256" s="13"/>
      <c r="HJ256" s="13"/>
      <c r="HK256" s="13"/>
      <c r="HL256" s="13"/>
      <c r="HM256" s="13"/>
      <c r="HN256" s="13"/>
      <c r="HO256" s="13"/>
      <c r="HP256" s="13"/>
      <c r="HQ256" s="13"/>
      <c r="HR256" s="13"/>
      <c r="HS256" s="13"/>
      <c r="HT256" s="13"/>
      <c r="HU256" s="13"/>
      <c r="HV256" s="13"/>
      <c r="HW256" s="13"/>
      <c r="HX256" s="13"/>
      <c r="HY256" s="13"/>
      <c r="HZ256" s="13"/>
      <c r="IA256" s="13"/>
      <c r="IB256" s="13"/>
      <c r="IC256" s="13"/>
      <c r="ID256" s="13"/>
      <c r="IE256" s="13"/>
      <c r="IF256" s="13"/>
      <c r="IG256" s="13"/>
      <c r="IH256" s="13"/>
      <c r="II256" s="13"/>
      <c r="IJ256" s="13"/>
      <c r="IK256" s="13"/>
      <c r="IL256" s="13"/>
      <c r="IM256" s="13"/>
    </row>
    <row r="257" spans="1:247" s="10" customFormat="1" ht="30" x14ac:dyDescent="0.25">
      <c r="A257" s="18">
        <v>1</v>
      </c>
      <c r="B257" s="226" t="s">
        <v>108</v>
      </c>
      <c r="C257" s="326">
        <f t="shared" si="103"/>
        <v>700</v>
      </c>
      <c r="D257" s="326">
        <f t="shared" si="103"/>
        <v>467</v>
      </c>
      <c r="E257" s="326">
        <f t="shared" si="103"/>
        <v>667</v>
      </c>
      <c r="F257" s="326">
        <f t="shared" si="103"/>
        <v>142.82655246252676</v>
      </c>
      <c r="G257" s="509">
        <f t="shared" si="103"/>
        <v>1484.357</v>
      </c>
      <c r="H257" s="509">
        <f t="shared" si="103"/>
        <v>989.57</v>
      </c>
      <c r="I257" s="509">
        <f t="shared" si="103"/>
        <v>1406.5152700000001</v>
      </c>
      <c r="J257" s="509">
        <f t="shared" si="103"/>
        <v>142.13398445789588</v>
      </c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  <c r="DH257" s="13"/>
      <c r="DI257" s="13"/>
      <c r="DJ257" s="13"/>
      <c r="DK257" s="13"/>
      <c r="DL257" s="13"/>
      <c r="DM257" s="13"/>
      <c r="DN257" s="13"/>
      <c r="DO257" s="13"/>
      <c r="DP257" s="13"/>
      <c r="DQ257" s="13"/>
      <c r="DR257" s="13"/>
      <c r="DS257" s="13"/>
      <c r="DT257" s="13"/>
      <c r="DU257" s="13"/>
      <c r="DV257" s="13"/>
      <c r="DW257" s="13"/>
      <c r="DX257" s="13"/>
      <c r="DY257" s="13"/>
      <c r="DZ257" s="13"/>
      <c r="EA257" s="13"/>
      <c r="EB257" s="13"/>
      <c r="EC257" s="13"/>
      <c r="ED257" s="13"/>
      <c r="EE257" s="13"/>
      <c r="EF257" s="13"/>
      <c r="EG257" s="13"/>
      <c r="EH257" s="13"/>
      <c r="EI257" s="13"/>
      <c r="EJ257" s="13"/>
      <c r="EK257" s="13"/>
      <c r="EL257" s="13"/>
      <c r="EM257" s="13"/>
      <c r="EN257" s="13"/>
      <c r="EO257" s="13"/>
      <c r="EP257" s="13"/>
      <c r="EQ257" s="13"/>
      <c r="ER257" s="13"/>
      <c r="ES257" s="13"/>
      <c r="ET257" s="13"/>
      <c r="EU257" s="13"/>
      <c r="EV257" s="13"/>
      <c r="EW257" s="13"/>
      <c r="EX257" s="13"/>
      <c r="EY257" s="13"/>
      <c r="EZ257" s="13"/>
      <c r="FA257" s="13"/>
      <c r="FB257" s="13"/>
      <c r="FC257" s="13"/>
      <c r="FD257" s="13"/>
      <c r="FE257" s="13"/>
      <c r="FF257" s="13"/>
      <c r="FG257" s="13"/>
      <c r="FH257" s="13"/>
      <c r="FI257" s="13"/>
      <c r="FJ257" s="13"/>
      <c r="FK257" s="13"/>
      <c r="FL257" s="13"/>
      <c r="FM257" s="13"/>
      <c r="FN257" s="13"/>
      <c r="FO257" s="13"/>
      <c r="FP257" s="13"/>
      <c r="FQ257" s="13"/>
      <c r="FR257" s="13"/>
      <c r="FS257" s="13"/>
      <c r="FT257" s="13"/>
      <c r="FU257" s="13"/>
      <c r="FV257" s="13"/>
      <c r="FW257" s="13"/>
      <c r="FX257" s="13"/>
      <c r="FY257" s="13"/>
      <c r="FZ257" s="13"/>
      <c r="GA257" s="13"/>
      <c r="GB257" s="13"/>
      <c r="GC257" s="13"/>
      <c r="GD257" s="13"/>
      <c r="GE257" s="13"/>
      <c r="GF257" s="13"/>
      <c r="GG257" s="13"/>
      <c r="GH257" s="13"/>
      <c r="GI257" s="13"/>
      <c r="GJ257" s="13"/>
      <c r="GK257" s="13"/>
      <c r="GL257" s="13"/>
      <c r="GM257" s="13"/>
      <c r="GN257" s="13"/>
      <c r="GO257" s="13"/>
      <c r="GP257" s="13"/>
      <c r="GQ257" s="13"/>
      <c r="GR257" s="13"/>
      <c r="GS257" s="13"/>
      <c r="GT257" s="13"/>
      <c r="GU257" s="13"/>
      <c r="GV257" s="13"/>
      <c r="GW257" s="13"/>
      <c r="GX257" s="13"/>
      <c r="GY257" s="13"/>
      <c r="GZ257" s="13"/>
      <c r="HA257" s="13"/>
      <c r="HB257" s="13"/>
      <c r="HC257" s="13"/>
      <c r="HD257" s="13"/>
      <c r="HE257" s="13"/>
      <c r="HF257" s="13"/>
      <c r="HG257" s="13"/>
      <c r="HH257" s="13"/>
      <c r="HI257" s="13"/>
      <c r="HJ257" s="13"/>
      <c r="HK257" s="13"/>
      <c r="HL257" s="13"/>
      <c r="HM257" s="13"/>
      <c r="HN257" s="13"/>
      <c r="HO257" s="13"/>
      <c r="HP257" s="13"/>
      <c r="HQ257" s="13"/>
      <c r="HR257" s="13"/>
      <c r="HS257" s="13"/>
      <c r="HT257" s="13"/>
      <c r="HU257" s="13"/>
      <c r="HV257" s="13"/>
      <c r="HW257" s="13"/>
      <c r="HX257" s="13"/>
      <c r="HY257" s="13"/>
      <c r="HZ257" s="13"/>
      <c r="IA257" s="13"/>
      <c r="IB257" s="13"/>
      <c r="IC257" s="13"/>
      <c r="ID257" s="13"/>
      <c r="IE257" s="13"/>
      <c r="IF257" s="13"/>
      <c r="IG257" s="13"/>
      <c r="IH257" s="13"/>
      <c r="II257" s="13"/>
      <c r="IJ257" s="13"/>
      <c r="IK257" s="13"/>
      <c r="IL257" s="13"/>
      <c r="IM257" s="13"/>
    </row>
    <row r="258" spans="1:247" s="10" customFormat="1" ht="45" customHeight="1" x14ac:dyDescent="0.25">
      <c r="A258" s="18">
        <v>1</v>
      </c>
      <c r="B258" s="226" t="s">
        <v>81</v>
      </c>
      <c r="C258" s="326">
        <f t="shared" si="103"/>
        <v>6187</v>
      </c>
      <c r="D258" s="326">
        <f t="shared" si="103"/>
        <v>4125</v>
      </c>
      <c r="E258" s="326">
        <f t="shared" si="103"/>
        <v>3383</v>
      </c>
      <c r="F258" s="326">
        <f t="shared" si="103"/>
        <v>82.012121212121215</v>
      </c>
      <c r="G258" s="509">
        <f t="shared" si="103"/>
        <v>17033.862789999999</v>
      </c>
      <c r="H258" s="509">
        <f t="shared" si="103"/>
        <v>11355.91</v>
      </c>
      <c r="I258" s="509">
        <f t="shared" si="103"/>
        <v>11250.880670000002</v>
      </c>
      <c r="J258" s="509">
        <f t="shared" si="103"/>
        <v>99.075113046862839</v>
      </c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  <c r="DH258" s="13"/>
      <c r="DI258" s="13"/>
      <c r="DJ258" s="13"/>
      <c r="DK258" s="13"/>
      <c r="DL258" s="13"/>
      <c r="DM258" s="13"/>
      <c r="DN258" s="13"/>
      <c r="DO258" s="13"/>
      <c r="DP258" s="13"/>
      <c r="DQ258" s="13"/>
      <c r="DR258" s="13"/>
      <c r="DS258" s="13"/>
      <c r="DT258" s="13"/>
      <c r="DU258" s="13"/>
      <c r="DV258" s="13"/>
      <c r="DW258" s="13"/>
      <c r="DX258" s="13"/>
      <c r="DY258" s="13"/>
      <c r="DZ258" s="13"/>
      <c r="EA258" s="13"/>
      <c r="EB258" s="13"/>
      <c r="EC258" s="13"/>
      <c r="ED258" s="13"/>
      <c r="EE258" s="13"/>
      <c r="EF258" s="13"/>
      <c r="EG258" s="13"/>
      <c r="EH258" s="13"/>
      <c r="EI258" s="13"/>
      <c r="EJ258" s="13"/>
      <c r="EK258" s="13"/>
      <c r="EL258" s="13"/>
      <c r="EM258" s="13"/>
      <c r="EN258" s="13"/>
      <c r="EO258" s="13"/>
      <c r="EP258" s="13"/>
      <c r="EQ258" s="13"/>
      <c r="ER258" s="13"/>
      <c r="ES258" s="13"/>
      <c r="ET258" s="13"/>
      <c r="EU258" s="13"/>
      <c r="EV258" s="13"/>
      <c r="EW258" s="13"/>
      <c r="EX258" s="13"/>
      <c r="EY258" s="13"/>
      <c r="EZ258" s="13"/>
      <c r="FA258" s="13"/>
      <c r="FB258" s="13"/>
      <c r="FC258" s="13"/>
      <c r="FD258" s="13"/>
      <c r="FE258" s="13"/>
      <c r="FF258" s="13"/>
      <c r="FG258" s="13"/>
      <c r="FH258" s="13"/>
      <c r="FI258" s="13"/>
      <c r="FJ258" s="13"/>
      <c r="FK258" s="13"/>
      <c r="FL258" s="13"/>
      <c r="FM258" s="13"/>
      <c r="FN258" s="13"/>
      <c r="FO258" s="13"/>
      <c r="FP258" s="13"/>
      <c r="FQ258" s="13"/>
      <c r="FR258" s="13"/>
      <c r="FS258" s="13"/>
      <c r="FT258" s="13"/>
      <c r="FU258" s="13"/>
      <c r="FV258" s="13"/>
      <c r="FW258" s="13"/>
      <c r="FX258" s="13"/>
      <c r="FY258" s="13"/>
      <c r="FZ258" s="13"/>
      <c r="GA258" s="13"/>
      <c r="GB258" s="13"/>
      <c r="GC258" s="13"/>
      <c r="GD258" s="13"/>
      <c r="GE258" s="13"/>
      <c r="GF258" s="13"/>
      <c r="GG258" s="13"/>
      <c r="GH258" s="13"/>
      <c r="GI258" s="13"/>
      <c r="GJ258" s="13"/>
      <c r="GK258" s="13"/>
      <c r="GL258" s="13"/>
      <c r="GM258" s="13"/>
      <c r="GN258" s="13"/>
      <c r="GO258" s="13"/>
      <c r="GP258" s="13"/>
      <c r="GQ258" s="13"/>
      <c r="GR258" s="13"/>
      <c r="GS258" s="13"/>
      <c r="GT258" s="13"/>
      <c r="GU258" s="13"/>
      <c r="GV258" s="13"/>
      <c r="GW258" s="13"/>
      <c r="GX258" s="13"/>
      <c r="GY258" s="13"/>
      <c r="GZ258" s="13"/>
      <c r="HA258" s="13"/>
      <c r="HB258" s="13"/>
      <c r="HC258" s="13"/>
      <c r="HD258" s="13"/>
      <c r="HE258" s="13"/>
      <c r="HF258" s="13"/>
      <c r="HG258" s="13"/>
      <c r="HH258" s="13"/>
      <c r="HI258" s="13"/>
      <c r="HJ258" s="13"/>
      <c r="HK258" s="13"/>
      <c r="HL258" s="13"/>
      <c r="HM258" s="13"/>
      <c r="HN258" s="13"/>
      <c r="HO258" s="13"/>
      <c r="HP258" s="13"/>
      <c r="HQ258" s="13"/>
      <c r="HR258" s="13"/>
      <c r="HS258" s="13"/>
      <c r="HT258" s="13"/>
      <c r="HU258" s="13"/>
      <c r="HV258" s="13"/>
      <c r="HW258" s="13"/>
      <c r="HX258" s="13"/>
      <c r="HY258" s="13"/>
      <c r="HZ258" s="13"/>
      <c r="IA258" s="13"/>
      <c r="IB258" s="13"/>
      <c r="IC258" s="13"/>
      <c r="ID258" s="13"/>
      <c r="IE258" s="13"/>
      <c r="IF258" s="13"/>
      <c r="IG258" s="13"/>
      <c r="IH258" s="13"/>
      <c r="II258" s="13"/>
      <c r="IJ258" s="13"/>
      <c r="IK258" s="13"/>
      <c r="IL258" s="13"/>
      <c r="IM258" s="13"/>
    </row>
    <row r="259" spans="1:247" s="10" customFormat="1" ht="45" customHeight="1" x14ac:dyDescent="0.25">
      <c r="A259" s="18">
        <v>1</v>
      </c>
      <c r="B259" s="226" t="s">
        <v>109</v>
      </c>
      <c r="C259" s="326">
        <f t="shared" si="103"/>
        <v>2077</v>
      </c>
      <c r="D259" s="326">
        <f t="shared" si="103"/>
        <v>1385</v>
      </c>
      <c r="E259" s="326">
        <f t="shared" si="103"/>
        <v>1558</v>
      </c>
      <c r="F259" s="326">
        <f t="shared" si="103"/>
        <v>112.49097472924188</v>
      </c>
      <c r="G259" s="509">
        <f t="shared" si="103"/>
        <v>2035.79232</v>
      </c>
      <c r="H259" s="509">
        <f t="shared" si="103"/>
        <v>1357.19</v>
      </c>
      <c r="I259" s="509">
        <f t="shared" si="103"/>
        <v>1672.1091199999998</v>
      </c>
      <c r="J259" s="509">
        <f t="shared" si="103"/>
        <v>123.20376071147001</v>
      </c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  <c r="DH259" s="13"/>
      <c r="DI259" s="13"/>
      <c r="DJ259" s="13"/>
      <c r="DK259" s="13"/>
      <c r="DL259" s="13"/>
      <c r="DM259" s="13"/>
      <c r="DN259" s="13"/>
      <c r="DO259" s="13"/>
      <c r="DP259" s="13"/>
      <c r="DQ259" s="13"/>
      <c r="DR259" s="13"/>
      <c r="DS259" s="13"/>
      <c r="DT259" s="13"/>
      <c r="DU259" s="13"/>
      <c r="DV259" s="13"/>
      <c r="DW259" s="13"/>
      <c r="DX259" s="13"/>
      <c r="DY259" s="13"/>
      <c r="DZ259" s="13"/>
      <c r="EA259" s="13"/>
      <c r="EB259" s="13"/>
      <c r="EC259" s="13"/>
      <c r="ED259" s="13"/>
      <c r="EE259" s="13"/>
      <c r="EF259" s="13"/>
      <c r="EG259" s="13"/>
      <c r="EH259" s="13"/>
      <c r="EI259" s="13"/>
      <c r="EJ259" s="13"/>
      <c r="EK259" s="13"/>
      <c r="EL259" s="13"/>
      <c r="EM259" s="13"/>
      <c r="EN259" s="13"/>
      <c r="EO259" s="13"/>
      <c r="EP259" s="13"/>
      <c r="EQ259" s="13"/>
      <c r="ER259" s="13"/>
      <c r="ES259" s="13"/>
      <c r="ET259" s="13"/>
      <c r="EU259" s="13"/>
      <c r="EV259" s="13"/>
      <c r="EW259" s="13"/>
      <c r="EX259" s="13"/>
      <c r="EY259" s="13"/>
      <c r="EZ259" s="13"/>
      <c r="FA259" s="13"/>
      <c r="FB259" s="13"/>
      <c r="FC259" s="13"/>
      <c r="FD259" s="13"/>
      <c r="FE259" s="13"/>
      <c r="FF259" s="13"/>
      <c r="FG259" s="13"/>
      <c r="FH259" s="13"/>
      <c r="FI259" s="13"/>
      <c r="FJ259" s="13"/>
      <c r="FK259" s="13"/>
      <c r="FL259" s="13"/>
      <c r="FM259" s="13"/>
      <c r="FN259" s="13"/>
      <c r="FO259" s="13"/>
      <c r="FP259" s="13"/>
      <c r="FQ259" s="13"/>
      <c r="FR259" s="13"/>
      <c r="FS259" s="13"/>
      <c r="FT259" s="13"/>
      <c r="FU259" s="13"/>
      <c r="FV259" s="13"/>
      <c r="FW259" s="13"/>
      <c r="FX259" s="13"/>
      <c r="FY259" s="13"/>
      <c r="FZ259" s="13"/>
      <c r="GA259" s="13"/>
      <c r="GB259" s="13"/>
      <c r="GC259" s="13"/>
      <c r="GD259" s="13"/>
      <c r="GE259" s="13"/>
      <c r="GF259" s="13"/>
      <c r="GG259" s="13"/>
      <c r="GH259" s="13"/>
      <c r="GI259" s="13"/>
      <c r="GJ259" s="13"/>
      <c r="GK259" s="13"/>
      <c r="GL259" s="13"/>
      <c r="GM259" s="13"/>
      <c r="GN259" s="13"/>
      <c r="GO259" s="13"/>
      <c r="GP259" s="13"/>
      <c r="GQ259" s="13"/>
      <c r="GR259" s="13"/>
      <c r="GS259" s="13"/>
      <c r="GT259" s="13"/>
      <c r="GU259" s="13"/>
      <c r="GV259" s="13"/>
      <c r="GW259" s="13"/>
      <c r="GX259" s="13"/>
      <c r="GY259" s="13"/>
      <c r="GZ259" s="13"/>
      <c r="HA259" s="13"/>
      <c r="HB259" s="13"/>
      <c r="HC259" s="13"/>
      <c r="HD259" s="13"/>
      <c r="HE259" s="13"/>
      <c r="HF259" s="13"/>
      <c r="HG259" s="13"/>
      <c r="HH259" s="13"/>
      <c r="HI259" s="13"/>
      <c r="HJ259" s="13"/>
      <c r="HK259" s="13"/>
      <c r="HL259" s="13"/>
      <c r="HM259" s="13"/>
      <c r="HN259" s="13"/>
      <c r="HO259" s="13"/>
      <c r="HP259" s="13"/>
      <c r="HQ259" s="13"/>
      <c r="HR259" s="13"/>
      <c r="HS259" s="13"/>
      <c r="HT259" s="13"/>
      <c r="HU259" s="13"/>
      <c r="HV259" s="13"/>
      <c r="HW259" s="13"/>
      <c r="HX259" s="13"/>
      <c r="HY259" s="13"/>
      <c r="HZ259" s="13"/>
      <c r="IA259" s="13"/>
      <c r="IB259" s="13"/>
      <c r="IC259" s="13"/>
      <c r="ID259" s="13"/>
      <c r="IE259" s="13"/>
      <c r="IF259" s="13"/>
      <c r="IG259" s="13"/>
      <c r="IH259" s="13"/>
      <c r="II259" s="13"/>
      <c r="IJ259" s="13"/>
      <c r="IK259" s="13"/>
      <c r="IL259" s="13"/>
      <c r="IM259" s="13"/>
    </row>
    <row r="260" spans="1:247" s="10" customFormat="1" ht="38.1" customHeight="1" x14ac:dyDescent="0.25">
      <c r="A260" s="18"/>
      <c r="B260" s="226" t="s">
        <v>123</v>
      </c>
      <c r="C260" s="326">
        <f t="shared" ref="C260:J262" si="104">SUM(C246)</f>
        <v>9234</v>
      </c>
      <c r="D260" s="326">
        <f t="shared" si="104"/>
        <v>6156</v>
      </c>
      <c r="E260" s="326">
        <f t="shared" si="104"/>
        <v>5701</v>
      </c>
      <c r="F260" s="326">
        <f t="shared" si="104"/>
        <v>92.608836907082519</v>
      </c>
      <c r="G260" s="326">
        <f t="shared" si="104"/>
        <v>8986.7134800000003</v>
      </c>
      <c r="H260" s="326">
        <f t="shared" si="104"/>
        <v>5991.14</v>
      </c>
      <c r="I260" s="326">
        <f t="shared" si="104"/>
        <v>5508.4410600000001</v>
      </c>
      <c r="J260" s="326">
        <f t="shared" si="104"/>
        <v>91.943120341036931</v>
      </c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  <c r="DH260" s="13"/>
      <c r="DI260" s="13"/>
      <c r="DJ260" s="13"/>
      <c r="DK260" s="13"/>
      <c r="DL260" s="13"/>
      <c r="DM260" s="13"/>
      <c r="DN260" s="13"/>
      <c r="DO260" s="13"/>
      <c r="DP260" s="13"/>
      <c r="DQ260" s="13"/>
      <c r="DR260" s="13"/>
      <c r="DS260" s="13"/>
      <c r="DT260" s="13"/>
      <c r="DU260" s="13"/>
      <c r="DV260" s="13"/>
      <c r="DW260" s="13"/>
      <c r="DX260" s="13"/>
      <c r="DY260" s="13"/>
      <c r="DZ260" s="13"/>
      <c r="EA260" s="13"/>
      <c r="EB260" s="13"/>
      <c r="EC260" s="13"/>
      <c r="ED260" s="13"/>
      <c r="EE260" s="13"/>
      <c r="EF260" s="13"/>
      <c r="EG260" s="13"/>
      <c r="EH260" s="13"/>
      <c r="EI260" s="13"/>
      <c r="EJ260" s="13"/>
      <c r="EK260" s="13"/>
      <c r="EL260" s="13"/>
      <c r="EM260" s="13"/>
      <c r="EN260" s="13"/>
      <c r="EO260" s="13"/>
      <c r="EP260" s="13"/>
      <c r="EQ260" s="13"/>
      <c r="ER260" s="13"/>
      <c r="ES260" s="13"/>
      <c r="ET260" s="13"/>
      <c r="EU260" s="13"/>
      <c r="EV260" s="13"/>
      <c r="EW260" s="13"/>
      <c r="EX260" s="13"/>
      <c r="EY260" s="13"/>
      <c r="EZ260" s="13"/>
      <c r="FA260" s="13"/>
      <c r="FB260" s="13"/>
      <c r="FC260" s="13"/>
      <c r="FD260" s="13"/>
      <c r="FE260" s="13"/>
      <c r="FF260" s="13"/>
      <c r="FG260" s="13"/>
      <c r="FH260" s="13"/>
      <c r="FI260" s="13"/>
      <c r="FJ260" s="13"/>
      <c r="FK260" s="13"/>
      <c r="FL260" s="13"/>
      <c r="FM260" s="13"/>
      <c r="FN260" s="13"/>
      <c r="FO260" s="13"/>
      <c r="FP260" s="13"/>
      <c r="FQ260" s="13"/>
      <c r="FR260" s="13"/>
      <c r="FS260" s="13"/>
      <c r="FT260" s="13"/>
      <c r="FU260" s="13"/>
      <c r="FV260" s="13"/>
      <c r="FW260" s="13"/>
      <c r="FX260" s="13"/>
      <c r="FY260" s="13"/>
      <c r="FZ260" s="13"/>
      <c r="GA260" s="13"/>
      <c r="GB260" s="13"/>
      <c r="GC260" s="13"/>
      <c r="GD260" s="13"/>
      <c r="GE260" s="13"/>
      <c r="GF260" s="13"/>
      <c r="GG260" s="13"/>
      <c r="GH260" s="13"/>
      <c r="GI260" s="13"/>
      <c r="GJ260" s="13"/>
      <c r="GK260" s="13"/>
      <c r="GL260" s="13"/>
      <c r="GM260" s="13"/>
      <c r="GN260" s="13"/>
      <c r="GO260" s="13"/>
      <c r="GP260" s="13"/>
      <c r="GQ260" s="13"/>
      <c r="GR260" s="13"/>
      <c r="GS260" s="13"/>
      <c r="GT260" s="13"/>
      <c r="GU260" s="13"/>
      <c r="GV260" s="13"/>
      <c r="GW260" s="13"/>
      <c r="GX260" s="13"/>
      <c r="GY260" s="13"/>
      <c r="GZ260" s="13"/>
      <c r="HA260" s="13"/>
      <c r="HB260" s="13"/>
      <c r="HC260" s="13"/>
      <c r="HD260" s="13"/>
      <c r="HE260" s="13"/>
      <c r="HF260" s="13"/>
      <c r="HG260" s="13"/>
      <c r="HH260" s="13"/>
      <c r="HI260" s="13"/>
      <c r="HJ260" s="13"/>
      <c r="HK260" s="13"/>
      <c r="HL260" s="13"/>
      <c r="HM260" s="13"/>
      <c r="HN260" s="13"/>
      <c r="HO260" s="13"/>
      <c r="HP260" s="13"/>
      <c r="HQ260" s="13"/>
      <c r="HR260" s="13"/>
      <c r="HS260" s="13"/>
      <c r="HT260" s="13"/>
      <c r="HU260" s="13"/>
      <c r="HV260" s="13"/>
      <c r="HW260" s="13"/>
      <c r="HX260" s="13"/>
      <c r="HY260" s="13"/>
      <c r="HZ260" s="13"/>
      <c r="IA260" s="13"/>
      <c r="IB260" s="13"/>
      <c r="IC260" s="13"/>
      <c r="ID260" s="13"/>
      <c r="IE260" s="13"/>
      <c r="IF260" s="13"/>
      <c r="IG260" s="13"/>
      <c r="IH260" s="13"/>
      <c r="II260" s="13"/>
      <c r="IJ260" s="13"/>
      <c r="IK260" s="13"/>
      <c r="IL260" s="13"/>
      <c r="IM260" s="13"/>
    </row>
    <row r="261" spans="1:247" s="10" customFormat="1" ht="38.1" customHeight="1" x14ac:dyDescent="0.25">
      <c r="A261" s="18"/>
      <c r="B261" s="226" t="s">
        <v>124</v>
      </c>
      <c r="C261" s="326">
        <f t="shared" si="104"/>
        <v>910</v>
      </c>
      <c r="D261" s="326">
        <f t="shared" si="104"/>
        <v>607</v>
      </c>
      <c r="E261" s="326">
        <f t="shared" si="104"/>
        <v>1100</v>
      </c>
      <c r="F261" s="326">
        <f t="shared" si="104"/>
        <v>181.21911037891269</v>
      </c>
      <c r="G261" s="326">
        <f t="shared" si="104"/>
        <v>885.63020000000006</v>
      </c>
      <c r="H261" s="326">
        <f t="shared" si="104"/>
        <v>590.41999999999996</v>
      </c>
      <c r="I261" s="326">
        <f t="shared" si="104"/>
        <v>1059.1020900000001</v>
      </c>
      <c r="J261" s="326">
        <f t="shared" si="104"/>
        <v>179.38113376918128</v>
      </c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  <c r="DH261" s="13"/>
      <c r="DI261" s="13"/>
      <c r="DJ261" s="13"/>
      <c r="DK261" s="13"/>
      <c r="DL261" s="13"/>
      <c r="DM261" s="13"/>
      <c r="DN261" s="13"/>
      <c r="DO261" s="13"/>
      <c r="DP261" s="13"/>
      <c r="DQ261" s="13"/>
      <c r="DR261" s="13"/>
      <c r="DS261" s="13"/>
      <c r="DT261" s="13"/>
      <c r="DU261" s="13"/>
      <c r="DV261" s="13"/>
      <c r="DW261" s="13"/>
      <c r="DX261" s="13"/>
      <c r="DY261" s="13"/>
      <c r="DZ261" s="13"/>
      <c r="EA261" s="13"/>
      <c r="EB261" s="13"/>
      <c r="EC261" s="13"/>
      <c r="ED261" s="13"/>
      <c r="EE261" s="13"/>
      <c r="EF261" s="13"/>
      <c r="EG261" s="13"/>
      <c r="EH261" s="13"/>
      <c r="EI261" s="13"/>
      <c r="EJ261" s="13"/>
      <c r="EK261" s="13"/>
      <c r="EL261" s="13"/>
      <c r="EM261" s="13"/>
      <c r="EN261" s="13"/>
      <c r="EO261" s="13"/>
      <c r="EP261" s="13"/>
      <c r="EQ261" s="13"/>
      <c r="ER261" s="13"/>
      <c r="ES261" s="13"/>
      <c r="ET261" s="13"/>
      <c r="EU261" s="13"/>
      <c r="EV261" s="13"/>
      <c r="EW261" s="13"/>
      <c r="EX261" s="13"/>
      <c r="EY261" s="13"/>
      <c r="EZ261" s="13"/>
      <c r="FA261" s="13"/>
      <c r="FB261" s="13"/>
      <c r="FC261" s="13"/>
      <c r="FD261" s="13"/>
      <c r="FE261" s="13"/>
      <c r="FF261" s="13"/>
      <c r="FG261" s="13"/>
      <c r="FH261" s="13"/>
      <c r="FI261" s="13"/>
      <c r="FJ261" s="13"/>
      <c r="FK261" s="13"/>
      <c r="FL261" s="13"/>
      <c r="FM261" s="13"/>
      <c r="FN261" s="13"/>
      <c r="FO261" s="13"/>
      <c r="FP261" s="13"/>
      <c r="FQ261" s="13"/>
      <c r="FR261" s="13"/>
      <c r="FS261" s="13"/>
      <c r="FT261" s="13"/>
      <c r="FU261" s="13"/>
      <c r="FV261" s="13"/>
      <c r="FW261" s="13"/>
      <c r="FX261" s="13"/>
      <c r="FY261" s="13"/>
      <c r="FZ261" s="13"/>
      <c r="GA261" s="13"/>
      <c r="GB261" s="13"/>
      <c r="GC261" s="13"/>
      <c r="GD261" s="13"/>
      <c r="GE261" s="13"/>
      <c r="GF261" s="13"/>
      <c r="GG261" s="13"/>
      <c r="GH261" s="13"/>
      <c r="GI261" s="13"/>
      <c r="GJ261" s="13"/>
      <c r="GK261" s="13"/>
      <c r="GL261" s="13"/>
      <c r="GM261" s="13"/>
      <c r="GN261" s="13"/>
      <c r="GO261" s="13"/>
      <c r="GP261" s="13"/>
      <c r="GQ261" s="13"/>
      <c r="GR261" s="13"/>
      <c r="GS261" s="13"/>
      <c r="GT261" s="13"/>
      <c r="GU261" s="13"/>
      <c r="GV261" s="13"/>
      <c r="GW261" s="13"/>
      <c r="GX261" s="13"/>
      <c r="GY261" s="13"/>
      <c r="GZ261" s="13"/>
      <c r="HA261" s="13"/>
      <c r="HB261" s="13"/>
      <c r="HC261" s="13"/>
      <c r="HD261" s="13"/>
      <c r="HE261" s="13"/>
      <c r="HF261" s="13"/>
      <c r="HG261" s="13"/>
      <c r="HH261" s="13"/>
      <c r="HI261" s="13"/>
      <c r="HJ261" s="13"/>
      <c r="HK261" s="13"/>
      <c r="HL261" s="13"/>
      <c r="HM261" s="13"/>
      <c r="HN261" s="13"/>
      <c r="HO261" s="13"/>
      <c r="HP261" s="13"/>
      <c r="HQ261" s="13"/>
      <c r="HR261" s="13"/>
      <c r="HS261" s="13"/>
      <c r="HT261" s="13"/>
      <c r="HU261" s="13"/>
      <c r="HV261" s="13"/>
      <c r="HW261" s="13"/>
      <c r="HX261" s="13"/>
      <c r="HY261" s="13"/>
      <c r="HZ261" s="13"/>
      <c r="IA261" s="13"/>
      <c r="IB261" s="13"/>
      <c r="IC261" s="13"/>
      <c r="ID261" s="13"/>
      <c r="IE261" s="13"/>
      <c r="IF261" s="13"/>
      <c r="IG261" s="13"/>
      <c r="IH261" s="13"/>
      <c r="II261" s="13"/>
      <c r="IJ261" s="13"/>
      <c r="IK261" s="13"/>
      <c r="IL261" s="13"/>
      <c r="IM261" s="13"/>
    </row>
    <row r="262" spans="1:247" s="10" customFormat="1" ht="38.1" customHeight="1" x14ac:dyDescent="0.25">
      <c r="A262" s="18"/>
      <c r="B262" s="226" t="s">
        <v>125</v>
      </c>
      <c r="C262" s="326">
        <f t="shared" si="104"/>
        <v>0</v>
      </c>
      <c r="D262" s="326">
        <f t="shared" si="104"/>
        <v>0</v>
      </c>
      <c r="E262" s="326">
        <f t="shared" si="104"/>
        <v>0</v>
      </c>
      <c r="F262" s="326">
        <f t="shared" si="104"/>
        <v>0</v>
      </c>
      <c r="G262" s="326">
        <f t="shared" si="104"/>
        <v>0</v>
      </c>
      <c r="H262" s="326">
        <f t="shared" si="104"/>
        <v>0</v>
      </c>
      <c r="I262" s="326">
        <f t="shared" si="104"/>
        <v>0</v>
      </c>
      <c r="J262" s="326">
        <f t="shared" si="104"/>
        <v>0</v>
      </c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  <c r="DH262" s="13"/>
      <c r="DI262" s="13"/>
      <c r="DJ262" s="13"/>
      <c r="DK262" s="13"/>
      <c r="DL262" s="13"/>
      <c r="DM262" s="13"/>
      <c r="DN262" s="13"/>
      <c r="DO262" s="13"/>
      <c r="DP262" s="13"/>
      <c r="DQ262" s="13"/>
      <c r="DR262" s="13"/>
      <c r="DS262" s="13"/>
      <c r="DT262" s="13"/>
      <c r="DU262" s="13"/>
      <c r="DV262" s="13"/>
      <c r="DW262" s="13"/>
      <c r="DX262" s="13"/>
      <c r="DY262" s="13"/>
      <c r="DZ262" s="13"/>
      <c r="EA262" s="13"/>
      <c r="EB262" s="13"/>
      <c r="EC262" s="13"/>
      <c r="ED262" s="13"/>
      <c r="EE262" s="13"/>
      <c r="EF262" s="13"/>
      <c r="EG262" s="13"/>
      <c r="EH262" s="13"/>
      <c r="EI262" s="13"/>
      <c r="EJ262" s="13"/>
      <c r="EK262" s="13"/>
      <c r="EL262" s="13"/>
      <c r="EM262" s="13"/>
      <c r="EN262" s="13"/>
      <c r="EO262" s="13"/>
      <c r="EP262" s="13"/>
      <c r="EQ262" s="13"/>
      <c r="ER262" s="13"/>
      <c r="ES262" s="13"/>
      <c r="ET262" s="13"/>
      <c r="EU262" s="13"/>
      <c r="EV262" s="13"/>
      <c r="EW262" s="13"/>
      <c r="EX262" s="13"/>
      <c r="EY262" s="13"/>
      <c r="EZ262" s="13"/>
      <c r="FA262" s="13"/>
      <c r="FB262" s="13"/>
      <c r="FC262" s="13"/>
      <c r="FD262" s="13"/>
      <c r="FE262" s="13"/>
      <c r="FF262" s="13"/>
      <c r="FG262" s="13"/>
      <c r="FH262" s="13"/>
      <c r="FI262" s="13"/>
      <c r="FJ262" s="13"/>
      <c r="FK262" s="13"/>
      <c r="FL262" s="13"/>
      <c r="FM262" s="13"/>
      <c r="FN262" s="13"/>
      <c r="FO262" s="13"/>
      <c r="FP262" s="13"/>
      <c r="FQ262" s="13"/>
      <c r="FR262" s="13"/>
      <c r="FS262" s="13"/>
      <c r="FT262" s="13"/>
      <c r="FU262" s="13"/>
      <c r="FV262" s="13"/>
      <c r="FW262" s="13"/>
      <c r="FX262" s="13"/>
      <c r="FY262" s="13"/>
      <c r="FZ262" s="13"/>
      <c r="GA262" s="13"/>
      <c r="GB262" s="13"/>
      <c r="GC262" s="13"/>
      <c r="GD262" s="13"/>
      <c r="GE262" s="13"/>
      <c r="GF262" s="13"/>
      <c r="GG262" s="13"/>
      <c r="GH262" s="13"/>
      <c r="GI262" s="13"/>
      <c r="GJ262" s="13"/>
      <c r="GK262" s="13"/>
      <c r="GL262" s="13"/>
      <c r="GM262" s="13"/>
      <c r="GN262" s="13"/>
      <c r="GO262" s="13"/>
      <c r="GP262" s="13"/>
      <c r="GQ262" s="13"/>
      <c r="GR262" s="13"/>
      <c r="GS262" s="13"/>
      <c r="GT262" s="13"/>
      <c r="GU262" s="13"/>
      <c r="GV262" s="13"/>
      <c r="GW262" s="13"/>
      <c r="GX262" s="13"/>
      <c r="GY262" s="13"/>
      <c r="GZ262" s="13"/>
      <c r="HA262" s="13"/>
      <c r="HB262" s="13"/>
      <c r="HC262" s="13"/>
      <c r="HD262" s="13"/>
      <c r="HE262" s="13"/>
      <c r="HF262" s="13"/>
      <c r="HG262" s="13"/>
      <c r="HH262" s="13"/>
      <c r="HI262" s="13"/>
      <c r="HJ262" s="13"/>
      <c r="HK262" s="13"/>
      <c r="HL262" s="13"/>
      <c r="HM262" s="13"/>
      <c r="HN262" s="13"/>
      <c r="HO262" s="13"/>
      <c r="HP262" s="13"/>
      <c r="HQ262" s="13"/>
      <c r="HR262" s="13"/>
      <c r="HS262" s="13"/>
      <c r="HT262" s="13"/>
      <c r="HU262" s="13"/>
      <c r="HV262" s="13"/>
      <c r="HW262" s="13"/>
      <c r="HX262" s="13"/>
      <c r="HY262" s="13"/>
      <c r="HZ262" s="13"/>
      <c r="IA262" s="13"/>
      <c r="IB262" s="13"/>
      <c r="IC262" s="13"/>
      <c r="ID262" s="13"/>
      <c r="IE262" s="13"/>
      <c r="IF262" s="13"/>
      <c r="IG262" s="13"/>
      <c r="IH262" s="13"/>
      <c r="II262" s="13"/>
      <c r="IJ262" s="13"/>
      <c r="IK262" s="13"/>
      <c r="IL262" s="13"/>
      <c r="IM262" s="13"/>
    </row>
    <row r="263" spans="1:247" s="10" customFormat="1" ht="15" customHeight="1" x14ac:dyDescent="0.25">
      <c r="A263" s="18">
        <v>1</v>
      </c>
      <c r="B263" s="263" t="s">
        <v>107</v>
      </c>
      <c r="C263" s="262">
        <f t="shared" ref="C263:J263" si="105">C249</f>
        <v>0</v>
      </c>
      <c r="D263" s="262">
        <f t="shared" si="105"/>
        <v>0</v>
      </c>
      <c r="E263" s="262">
        <f t="shared" si="105"/>
        <v>0</v>
      </c>
      <c r="F263" s="262">
        <f t="shared" si="105"/>
        <v>0</v>
      </c>
      <c r="G263" s="510">
        <f t="shared" si="105"/>
        <v>37650.78069</v>
      </c>
      <c r="H263" s="510">
        <f t="shared" si="105"/>
        <v>25100.52</v>
      </c>
      <c r="I263" s="510">
        <f t="shared" si="105"/>
        <v>25713.534130000004</v>
      </c>
      <c r="J263" s="510">
        <f t="shared" si="105"/>
        <v>102.44223677437761</v>
      </c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  <c r="DH263" s="13"/>
      <c r="DI263" s="13"/>
      <c r="DJ263" s="13"/>
      <c r="DK263" s="13"/>
      <c r="DL263" s="13"/>
      <c r="DM263" s="13"/>
      <c r="DN263" s="13"/>
      <c r="DO263" s="13"/>
      <c r="DP263" s="13"/>
      <c r="DQ263" s="13"/>
      <c r="DR263" s="13"/>
      <c r="DS263" s="13"/>
      <c r="DT263" s="13"/>
      <c r="DU263" s="13"/>
      <c r="DV263" s="13"/>
      <c r="DW263" s="13"/>
      <c r="DX263" s="13"/>
      <c r="DY263" s="13"/>
      <c r="DZ263" s="13"/>
      <c r="EA263" s="13"/>
      <c r="EB263" s="13"/>
      <c r="EC263" s="13"/>
      <c r="ED263" s="13"/>
      <c r="EE263" s="13"/>
      <c r="EF263" s="13"/>
      <c r="EG263" s="13"/>
      <c r="EH263" s="13"/>
      <c r="EI263" s="13"/>
      <c r="EJ263" s="13"/>
      <c r="EK263" s="13"/>
      <c r="EL263" s="13"/>
      <c r="EM263" s="13"/>
      <c r="EN263" s="13"/>
      <c r="EO263" s="13"/>
      <c r="EP263" s="13"/>
      <c r="EQ263" s="13"/>
      <c r="ER263" s="13"/>
      <c r="ES263" s="13"/>
      <c r="ET263" s="13"/>
      <c r="EU263" s="13"/>
      <c r="EV263" s="13"/>
      <c r="EW263" s="13"/>
      <c r="EX263" s="13"/>
      <c r="EY263" s="13"/>
      <c r="EZ263" s="13"/>
      <c r="FA263" s="13"/>
      <c r="FB263" s="13"/>
      <c r="FC263" s="13"/>
      <c r="FD263" s="13"/>
      <c r="FE263" s="13"/>
      <c r="FF263" s="13"/>
      <c r="FG263" s="13"/>
      <c r="FH263" s="13"/>
      <c r="FI263" s="13"/>
      <c r="FJ263" s="13"/>
      <c r="FK263" s="13"/>
      <c r="FL263" s="13"/>
      <c r="FM263" s="13"/>
      <c r="FN263" s="13"/>
      <c r="FO263" s="13"/>
      <c r="FP263" s="13"/>
      <c r="FQ263" s="13"/>
      <c r="FR263" s="13"/>
      <c r="FS263" s="13"/>
      <c r="FT263" s="13"/>
      <c r="FU263" s="13"/>
      <c r="FV263" s="13"/>
      <c r="FW263" s="13"/>
      <c r="FX263" s="13"/>
      <c r="FY263" s="13"/>
      <c r="FZ263" s="13"/>
      <c r="GA263" s="13"/>
      <c r="GB263" s="13"/>
      <c r="GC263" s="13"/>
      <c r="GD263" s="13"/>
      <c r="GE263" s="13"/>
      <c r="GF263" s="13"/>
      <c r="GG263" s="13"/>
      <c r="GH263" s="13"/>
      <c r="GI263" s="13"/>
      <c r="GJ263" s="13"/>
      <c r="GK263" s="13"/>
      <c r="GL263" s="13"/>
      <c r="GM263" s="13"/>
      <c r="GN263" s="13"/>
      <c r="GO263" s="13"/>
      <c r="GP263" s="13"/>
      <c r="GQ263" s="13"/>
      <c r="GR263" s="13"/>
      <c r="GS263" s="13"/>
      <c r="GT263" s="13"/>
      <c r="GU263" s="13"/>
      <c r="GV263" s="13"/>
      <c r="GW263" s="13"/>
      <c r="GX263" s="13"/>
      <c r="GY263" s="13"/>
      <c r="GZ263" s="13"/>
      <c r="HA263" s="13"/>
      <c r="HB263" s="13"/>
      <c r="HC263" s="13"/>
      <c r="HD263" s="13"/>
      <c r="HE263" s="13"/>
      <c r="HF263" s="13"/>
      <c r="HG263" s="13"/>
      <c r="HH263" s="13"/>
      <c r="HI263" s="13"/>
      <c r="HJ263" s="13"/>
      <c r="HK263" s="13"/>
      <c r="HL263" s="13"/>
      <c r="HM263" s="13"/>
      <c r="HN263" s="13"/>
      <c r="HO263" s="13"/>
      <c r="HP263" s="13"/>
      <c r="HQ263" s="13"/>
      <c r="HR263" s="13"/>
      <c r="HS263" s="13"/>
      <c r="HT263" s="13"/>
      <c r="HU263" s="13"/>
      <c r="HV263" s="13"/>
      <c r="HW263" s="13"/>
      <c r="HX263" s="13"/>
      <c r="HY263" s="13"/>
      <c r="HZ263" s="13"/>
      <c r="IA263" s="13"/>
      <c r="IB263" s="13"/>
      <c r="IC263" s="13"/>
      <c r="ID263" s="13"/>
      <c r="IE263" s="13"/>
      <c r="IF263" s="13"/>
      <c r="IG263" s="13"/>
      <c r="IH263" s="13"/>
      <c r="II263" s="13"/>
      <c r="IJ263" s="13"/>
      <c r="IK263" s="13"/>
      <c r="IL263" s="13"/>
      <c r="IM263" s="13"/>
    </row>
    <row r="264" spans="1:247" ht="15" customHeight="1" thickBot="1" x14ac:dyDescent="0.3">
      <c r="A264" s="18">
        <v>1</v>
      </c>
      <c r="B264" s="84" t="s">
        <v>14</v>
      </c>
      <c r="C264" s="5"/>
      <c r="D264" s="5"/>
      <c r="E264" s="167"/>
      <c r="F264" s="5"/>
      <c r="G264" s="502"/>
      <c r="H264" s="502"/>
      <c r="I264" s="503"/>
      <c r="J264" s="502"/>
    </row>
    <row r="265" spans="1:247" ht="29.25" x14ac:dyDescent="0.25">
      <c r="A265" s="18">
        <v>1</v>
      </c>
      <c r="B265" s="126" t="s">
        <v>51</v>
      </c>
      <c r="C265" s="124"/>
      <c r="D265" s="124"/>
      <c r="E265" s="124"/>
      <c r="F265" s="124"/>
      <c r="G265" s="511"/>
      <c r="H265" s="511"/>
      <c r="I265" s="511"/>
      <c r="J265" s="511"/>
    </row>
    <row r="266" spans="1:247" s="35" customFormat="1" ht="30" x14ac:dyDescent="0.25">
      <c r="A266" s="18">
        <v>1</v>
      </c>
      <c r="B266" s="72" t="s">
        <v>120</v>
      </c>
      <c r="C266" s="113">
        <f>SUM(C267:C270)</f>
        <v>7401</v>
      </c>
      <c r="D266" s="113">
        <f>SUM(D267:D270)</f>
        <v>4934</v>
      </c>
      <c r="E266" s="113">
        <f>SUM(E267:E270)</f>
        <v>5362</v>
      </c>
      <c r="F266" s="113">
        <f>E266/D266*100</f>
        <v>108.67450344548033</v>
      </c>
      <c r="G266" s="465">
        <f>SUM(G267:G270)</f>
        <v>12361.96379</v>
      </c>
      <c r="H266" s="465">
        <f>SUM(H267:H270)</f>
        <v>8241.3100000000013</v>
      </c>
      <c r="I266" s="465">
        <f>SUM(I267:I270)</f>
        <v>8939.5834700000014</v>
      </c>
      <c r="J266" s="465">
        <f t="shared" ref="J266:J278" si="106">I266/H266*100</f>
        <v>108.47284557916157</v>
      </c>
    </row>
    <row r="267" spans="1:247" s="35" customFormat="1" ht="30" x14ac:dyDescent="0.25">
      <c r="A267" s="18">
        <v>1</v>
      </c>
      <c r="B267" s="71" t="s">
        <v>79</v>
      </c>
      <c r="C267" s="113">
        <v>5485</v>
      </c>
      <c r="D267" s="107">
        <f t="shared" ref="D267:D274" si="107">ROUND(C267/12*$B$3,0)</f>
        <v>3657</v>
      </c>
      <c r="E267" s="113">
        <v>4206</v>
      </c>
      <c r="F267" s="113">
        <f>E267/D267*100</f>
        <v>115.01230516817063</v>
      </c>
      <c r="G267" s="465">
        <v>7514.5098000000007</v>
      </c>
      <c r="H267" s="638">
        <f t="shared" ref="H267:H270" si="108">ROUND(G267/12*$B$3,2)</f>
        <v>5009.67</v>
      </c>
      <c r="I267" s="507">
        <v>5562.528440000001</v>
      </c>
      <c r="J267" s="465">
        <f t="shared" si="106"/>
        <v>111.03582551345698</v>
      </c>
    </row>
    <row r="268" spans="1:247" s="35" customFormat="1" ht="30" x14ac:dyDescent="0.25">
      <c r="A268" s="18">
        <v>1</v>
      </c>
      <c r="B268" s="71" t="s">
        <v>80</v>
      </c>
      <c r="C268" s="113">
        <v>1646</v>
      </c>
      <c r="D268" s="107">
        <f t="shared" si="107"/>
        <v>1097</v>
      </c>
      <c r="E268" s="113">
        <v>865</v>
      </c>
      <c r="F268" s="113">
        <f>E268/D268*100</f>
        <v>78.8514129443938</v>
      </c>
      <c r="G268" s="465">
        <v>3075.6923900000002</v>
      </c>
      <c r="H268" s="638">
        <f t="shared" si="108"/>
        <v>2050.46</v>
      </c>
      <c r="I268" s="507">
        <v>1565.9209499999999</v>
      </c>
      <c r="J268" s="465">
        <f t="shared" si="106"/>
        <v>76.369251289954448</v>
      </c>
    </row>
    <row r="269" spans="1:247" s="35" customFormat="1" ht="45" x14ac:dyDescent="0.25">
      <c r="A269" s="18">
        <v>1</v>
      </c>
      <c r="B269" s="71" t="s">
        <v>114</v>
      </c>
      <c r="C269" s="113">
        <v>120</v>
      </c>
      <c r="D269" s="107">
        <f t="shared" si="107"/>
        <v>80</v>
      </c>
      <c r="E269" s="113">
        <v>134</v>
      </c>
      <c r="F269" s="113">
        <f>E269/D269*100</f>
        <v>167.5</v>
      </c>
      <c r="G269" s="465">
        <v>787.44960000000003</v>
      </c>
      <c r="H269" s="638">
        <f t="shared" si="108"/>
        <v>524.97</v>
      </c>
      <c r="I269" s="507">
        <v>780.88751999999999</v>
      </c>
      <c r="J269" s="465">
        <f t="shared" si="106"/>
        <v>148.74897994171096</v>
      </c>
    </row>
    <row r="270" spans="1:247" s="35" customFormat="1" ht="30" x14ac:dyDescent="0.25">
      <c r="A270" s="18">
        <v>1</v>
      </c>
      <c r="B270" s="71" t="s">
        <v>115</v>
      </c>
      <c r="C270" s="113">
        <v>150</v>
      </c>
      <c r="D270" s="107">
        <f t="shared" si="107"/>
        <v>100</v>
      </c>
      <c r="E270" s="113">
        <v>157</v>
      </c>
      <c r="F270" s="113">
        <f t="shared" ref="F270:F274" si="109">E270/D270*100</f>
        <v>157</v>
      </c>
      <c r="G270" s="465">
        <v>984.31200000000001</v>
      </c>
      <c r="H270" s="638">
        <f t="shared" si="108"/>
        <v>656.21</v>
      </c>
      <c r="I270" s="507">
        <v>1030.2465600000003</v>
      </c>
      <c r="J270" s="465">
        <f t="shared" si="106"/>
        <v>156.99952149464352</v>
      </c>
    </row>
    <row r="271" spans="1:247" s="35" customFormat="1" ht="30" x14ac:dyDescent="0.25">
      <c r="A271" s="18">
        <v>1</v>
      </c>
      <c r="B271" s="72" t="s">
        <v>112</v>
      </c>
      <c r="C271" s="113">
        <f>SUM(C272:C274)</f>
        <v>12174</v>
      </c>
      <c r="D271" s="113">
        <f>SUM(D272:D274)</f>
        <v>8116</v>
      </c>
      <c r="E271" s="113">
        <f>SUM(E272:E274)</f>
        <v>7176</v>
      </c>
      <c r="F271" s="113">
        <f t="shared" si="109"/>
        <v>88.417939871858053</v>
      </c>
      <c r="G271" s="458">
        <f>SUM(G272:G274)</f>
        <v>23609.339840000001</v>
      </c>
      <c r="H271" s="458">
        <f>SUM(H272:H274)</f>
        <v>15739.560000000001</v>
      </c>
      <c r="I271" s="458">
        <f>SUM(I272:I274)</f>
        <v>15063.080930000002</v>
      </c>
      <c r="J271" s="465">
        <f t="shared" si="106"/>
        <v>95.70204586405211</v>
      </c>
    </row>
    <row r="272" spans="1:247" s="35" customFormat="1" ht="30" x14ac:dyDescent="0.25">
      <c r="A272" s="18">
        <v>1</v>
      </c>
      <c r="B272" s="71" t="s">
        <v>108</v>
      </c>
      <c r="C272" s="113">
        <v>600</v>
      </c>
      <c r="D272" s="107">
        <f t="shared" si="107"/>
        <v>400</v>
      </c>
      <c r="E272" s="113">
        <v>438</v>
      </c>
      <c r="F272" s="113">
        <f t="shared" si="109"/>
        <v>109.5</v>
      </c>
      <c r="G272" s="465">
        <f>1272306/1000</f>
        <v>1272.306</v>
      </c>
      <c r="H272" s="638">
        <f t="shared" ref="H272:H277" si="110">ROUND(G272/12*$B$3,2)</f>
        <v>848.2</v>
      </c>
      <c r="I272" s="465">
        <v>921.47678000000008</v>
      </c>
      <c r="J272" s="465">
        <f t="shared" si="106"/>
        <v>108.63909219523697</v>
      </c>
    </row>
    <row r="273" spans="1:247" s="35" customFormat="1" ht="61.5" customHeight="1" x14ac:dyDescent="0.25">
      <c r="A273" s="18">
        <v>1</v>
      </c>
      <c r="B273" s="71" t="s">
        <v>119</v>
      </c>
      <c r="C273" s="113">
        <v>6200</v>
      </c>
      <c r="D273" s="107">
        <f t="shared" si="107"/>
        <v>4133</v>
      </c>
      <c r="E273" s="113">
        <v>4735</v>
      </c>
      <c r="F273" s="113">
        <f t="shared" si="109"/>
        <v>114.56569078151463</v>
      </c>
      <c r="G273" s="465">
        <f>17069654/1000</f>
        <v>17069.653999999999</v>
      </c>
      <c r="H273" s="638">
        <f t="shared" si="110"/>
        <v>11379.77</v>
      </c>
      <c r="I273" s="507">
        <v>11971.454760000001</v>
      </c>
      <c r="J273" s="465">
        <f t="shared" si="106"/>
        <v>105.19944392549235</v>
      </c>
    </row>
    <row r="274" spans="1:247" s="35" customFormat="1" ht="44.25" customHeight="1" x14ac:dyDescent="0.25">
      <c r="A274" s="18">
        <v>1</v>
      </c>
      <c r="B274" s="71" t="s">
        <v>109</v>
      </c>
      <c r="C274" s="113">
        <v>5374</v>
      </c>
      <c r="D274" s="107">
        <f t="shared" si="107"/>
        <v>3583</v>
      </c>
      <c r="E274" s="113">
        <v>2003</v>
      </c>
      <c r="F274" s="113">
        <f t="shared" si="109"/>
        <v>55.902874686017299</v>
      </c>
      <c r="G274" s="465">
        <f>5267379.84/1000</f>
        <v>5267.3798399999996</v>
      </c>
      <c r="H274" s="638">
        <f t="shared" si="110"/>
        <v>3511.59</v>
      </c>
      <c r="I274" s="507">
        <v>2170.14939</v>
      </c>
      <c r="J274" s="465">
        <f t="shared" si="106"/>
        <v>61.799623247588698</v>
      </c>
    </row>
    <row r="275" spans="1:247" s="35" customFormat="1" ht="29.25" customHeight="1" x14ac:dyDescent="0.25">
      <c r="A275" s="18"/>
      <c r="B275" s="658" t="s">
        <v>123</v>
      </c>
      <c r="C275" s="113">
        <v>24500</v>
      </c>
      <c r="D275" s="107">
        <f>ROUND(C275/12*$B$3,0)</f>
        <v>16333</v>
      </c>
      <c r="E275" s="113">
        <f>17238+E276</f>
        <v>17910</v>
      </c>
      <c r="F275" s="113">
        <f>E275/D275*100</f>
        <v>109.65529908773648</v>
      </c>
      <c r="G275" s="465">
        <v>23843.89</v>
      </c>
      <c r="H275" s="638">
        <f t="shared" si="110"/>
        <v>15895.93</v>
      </c>
      <c r="I275" s="507">
        <f>16693.6288+I276</f>
        <v>17340.115469999997</v>
      </c>
      <c r="J275" s="465">
        <f>I275/H275*100</f>
        <v>109.0852530805055</v>
      </c>
    </row>
    <row r="276" spans="1:247" s="35" customFormat="1" ht="29.25" customHeight="1" x14ac:dyDescent="0.25">
      <c r="A276" s="18"/>
      <c r="B276" s="680" t="s">
        <v>124</v>
      </c>
      <c r="C276" s="113">
        <v>2200</v>
      </c>
      <c r="D276" s="107">
        <f>ROUND(C276/12*$B$3,0)</f>
        <v>1467</v>
      </c>
      <c r="E276" s="113">
        <v>672</v>
      </c>
      <c r="F276" s="113">
        <f>E276/D276*100</f>
        <v>45.807770961145195</v>
      </c>
      <c r="G276" s="465">
        <v>2141.0839999999998</v>
      </c>
      <c r="H276" s="638">
        <f t="shared" si="110"/>
        <v>1427.39</v>
      </c>
      <c r="I276" s="507">
        <v>646.48666999999989</v>
      </c>
      <c r="J276" s="465">
        <f>I276/H276*100</f>
        <v>45.291522989512316</v>
      </c>
    </row>
    <row r="277" spans="1:247" s="35" customFormat="1" ht="21.75" customHeight="1" thickBot="1" x14ac:dyDescent="0.3">
      <c r="A277" s="18"/>
      <c r="B277" s="658" t="s">
        <v>125</v>
      </c>
      <c r="C277" s="113"/>
      <c r="D277" s="107">
        <f>ROUND(C277/12*$B$3,0)</f>
        <v>0</v>
      </c>
      <c r="E277" s="113"/>
      <c r="F277" s="113"/>
      <c r="G277" s="465"/>
      <c r="H277" s="638">
        <f t="shared" si="110"/>
        <v>0</v>
      </c>
      <c r="I277" s="507"/>
      <c r="J277" s="465"/>
    </row>
    <row r="278" spans="1:247" s="13" customFormat="1" ht="15" customHeight="1" thickBot="1" x14ac:dyDescent="0.3">
      <c r="A278" s="18">
        <v>1</v>
      </c>
      <c r="B278" s="204" t="s">
        <v>3</v>
      </c>
      <c r="C278" s="24"/>
      <c r="D278" s="24"/>
      <c r="E278" s="24"/>
      <c r="F278" s="24"/>
      <c r="G278" s="469">
        <f>G271+G266+G275</f>
        <v>59815.193630000002</v>
      </c>
      <c r="H278" s="469">
        <f>H271+H266+H275</f>
        <v>39876.800000000003</v>
      </c>
      <c r="I278" s="469">
        <f>I271+I266+I275</f>
        <v>41342.779869999998</v>
      </c>
      <c r="J278" s="469">
        <f t="shared" si="106"/>
        <v>103.67627259459134</v>
      </c>
    </row>
    <row r="279" spans="1:247" x14ac:dyDescent="0.25">
      <c r="A279" s="18">
        <v>1</v>
      </c>
      <c r="B279" s="264" t="s">
        <v>12</v>
      </c>
      <c r="C279" s="265"/>
      <c r="D279" s="265"/>
      <c r="E279" s="265"/>
      <c r="F279" s="265"/>
      <c r="G279" s="512"/>
      <c r="H279" s="512"/>
      <c r="I279" s="512"/>
      <c r="J279" s="512"/>
    </row>
    <row r="280" spans="1:247" s="10" customFormat="1" ht="30" x14ac:dyDescent="0.25">
      <c r="A280" s="18">
        <v>1</v>
      </c>
      <c r="B280" s="266" t="s">
        <v>120</v>
      </c>
      <c r="C280" s="327">
        <f t="shared" ref="C280:J292" si="111">C266</f>
        <v>7401</v>
      </c>
      <c r="D280" s="327">
        <f t="shared" si="111"/>
        <v>4934</v>
      </c>
      <c r="E280" s="327">
        <f t="shared" si="111"/>
        <v>5362</v>
      </c>
      <c r="F280" s="327">
        <f t="shared" si="111"/>
        <v>108.67450344548033</v>
      </c>
      <c r="G280" s="513">
        <f t="shared" si="111"/>
        <v>12361.96379</v>
      </c>
      <c r="H280" s="513">
        <f t="shared" si="111"/>
        <v>8241.3100000000013</v>
      </c>
      <c r="I280" s="513">
        <f t="shared" si="111"/>
        <v>8939.5834700000014</v>
      </c>
      <c r="J280" s="513">
        <f t="shared" si="111"/>
        <v>108.47284557916157</v>
      </c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13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  <c r="EH280" s="13"/>
      <c r="EI280" s="13"/>
      <c r="EJ280" s="13"/>
      <c r="EK280" s="13"/>
      <c r="EL280" s="13"/>
      <c r="EM280" s="13"/>
      <c r="EN280" s="13"/>
      <c r="EO280" s="13"/>
      <c r="EP280" s="13"/>
      <c r="EQ280" s="13"/>
      <c r="ER280" s="13"/>
      <c r="ES280" s="13"/>
      <c r="ET280" s="13"/>
      <c r="EU280" s="13"/>
      <c r="EV280" s="13"/>
      <c r="EW280" s="13"/>
      <c r="EX280" s="13"/>
      <c r="EY280" s="13"/>
      <c r="EZ280" s="13"/>
      <c r="FA280" s="13"/>
      <c r="FB280" s="13"/>
      <c r="FC280" s="13"/>
      <c r="FD280" s="13"/>
      <c r="FE280" s="13"/>
      <c r="FF280" s="13"/>
      <c r="FG280" s="13"/>
      <c r="FH280" s="13"/>
      <c r="FI280" s="13"/>
      <c r="FJ280" s="13"/>
      <c r="FK280" s="13"/>
      <c r="FL280" s="13"/>
      <c r="FM280" s="13"/>
      <c r="FN280" s="13"/>
      <c r="FO280" s="13"/>
      <c r="FP280" s="13"/>
      <c r="FQ280" s="13"/>
      <c r="FR280" s="13"/>
      <c r="FS280" s="13"/>
      <c r="FT280" s="13"/>
      <c r="FU280" s="13"/>
      <c r="FV280" s="13"/>
      <c r="FW280" s="13"/>
      <c r="FX280" s="13"/>
      <c r="FY280" s="13"/>
      <c r="FZ280" s="13"/>
      <c r="GA280" s="13"/>
      <c r="GB280" s="13"/>
      <c r="GC280" s="13"/>
      <c r="GD280" s="13"/>
      <c r="GE280" s="13"/>
      <c r="GF280" s="13"/>
      <c r="GG280" s="13"/>
      <c r="GH280" s="13"/>
      <c r="GI280" s="13"/>
      <c r="GJ280" s="13"/>
      <c r="GK280" s="13"/>
      <c r="GL280" s="13"/>
      <c r="GM280" s="13"/>
      <c r="GN280" s="13"/>
      <c r="GO280" s="13"/>
      <c r="GP280" s="13"/>
      <c r="GQ280" s="13"/>
      <c r="GR280" s="13"/>
      <c r="GS280" s="13"/>
      <c r="GT280" s="13"/>
      <c r="GU280" s="13"/>
      <c r="GV280" s="13"/>
      <c r="GW280" s="13"/>
      <c r="GX280" s="13"/>
      <c r="GY280" s="13"/>
      <c r="GZ280" s="13"/>
      <c r="HA280" s="13"/>
      <c r="HB280" s="13"/>
      <c r="HC280" s="13"/>
      <c r="HD280" s="13"/>
      <c r="HE280" s="13"/>
      <c r="HF280" s="13"/>
      <c r="HG280" s="13"/>
      <c r="HH280" s="13"/>
      <c r="HI280" s="13"/>
      <c r="HJ280" s="13"/>
      <c r="HK280" s="13"/>
      <c r="HL280" s="13"/>
      <c r="HM280" s="13"/>
      <c r="HN280" s="13"/>
      <c r="HO280" s="13"/>
      <c r="HP280" s="13"/>
      <c r="HQ280" s="13"/>
      <c r="HR280" s="13"/>
      <c r="HS280" s="13"/>
      <c r="HT280" s="13"/>
      <c r="HU280" s="13"/>
      <c r="HV280" s="13"/>
      <c r="HW280" s="13"/>
      <c r="HX280" s="13"/>
      <c r="HY280" s="13"/>
      <c r="HZ280" s="13"/>
      <c r="IA280" s="13"/>
      <c r="IB280" s="13"/>
      <c r="IC280" s="13"/>
      <c r="ID280" s="13"/>
      <c r="IE280" s="13"/>
      <c r="IF280" s="13"/>
      <c r="IG280" s="13"/>
      <c r="IH280" s="13"/>
      <c r="II280" s="13"/>
      <c r="IJ280" s="13"/>
      <c r="IK280" s="13"/>
      <c r="IL280" s="13"/>
      <c r="IM280" s="13"/>
    </row>
    <row r="281" spans="1:247" s="10" customFormat="1" ht="30" x14ac:dyDescent="0.25">
      <c r="A281" s="18">
        <v>1</v>
      </c>
      <c r="B281" s="267" t="s">
        <v>79</v>
      </c>
      <c r="C281" s="327">
        <f t="shared" si="111"/>
        <v>5485</v>
      </c>
      <c r="D281" s="327">
        <f t="shared" si="111"/>
        <v>3657</v>
      </c>
      <c r="E281" s="327">
        <f t="shared" si="111"/>
        <v>4206</v>
      </c>
      <c r="F281" s="327">
        <f t="shared" si="111"/>
        <v>115.01230516817063</v>
      </c>
      <c r="G281" s="513">
        <f t="shared" si="111"/>
        <v>7514.5098000000007</v>
      </c>
      <c r="H281" s="513">
        <f t="shared" si="111"/>
        <v>5009.67</v>
      </c>
      <c r="I281" s="513">
        <f t="shared" si="111"/>
        <v>5562.528440000001</v>
      </c>
      <c r="J281" s="513">
        <f t="shared" si="111"/>
        <v>111.03582551345698</v>
      </c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13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  <c r="EH281" s="13"/>
      <c r="EI281" s="13"/>
      <c r="EJ281" s="13"/>
      <c r="EK281" s="13"/>
      <c r="EL281" s="13"/>
      <c r="EM281" s="13"/>
      <c r="EN281" s="13"/>
      <c r="EO281" s="13"/>
      <c r="EP281" s="13"/>
      <c r="EQ281" s="13"/>
      <c r="ER281" s="13"/>
      <c r="ES281" s="13"/>
      <c r="ET281" s="13"/>
      <c r="EU281" s="13"/>
      <c r="EV281" s="13"/>
      <c r="EW281" s="13"/>
      <c r="EX281" s="13"/>
      <c r="EY281" s="13"/>
      <c r="EZ281" s="13"/>
      <c r="FA281" s="13"/>
      <c r="FB281" s="13"/>
      <c r="FC281" s="13"/>
      <c r="FD281" s="13"/>
      <c r="FE281" s="13"/>
      <c r="FF281" s="13"/>
      <c r="FG281" s="13"/>
      <c r="FH281" s="13"/>
      <c r="FI281" s="13"/>
      <c r="FJ281" s="13"/>
      <c r="FK281" s="13"/>
      <c r="FL281" s="13"/>
      <c r="FM281" s="13"/>
      <c r="FN281" s="13"/>
      <c r="FO281" s="13"/>
      <c r="FP281" s="13"/>
      <c r="FQ281" s="13"/>
      <c r="FR281" s="13"/>
      <c r="FS281" s="13"/>
      <c r="FT281" s="13"/>
      <c r="FU281" s="13"/>
      <c r="FV281" s="13"/>
      <c r="FW281" s="13"/>
      <c r="FX281" s="13"/>
      <c r="FY281" s="13"/>
      <c r="FZ281" s="13"/>
      <c r="GA281" s="13"/>
      <c r="GB281" s="13"/>
      <c r="GC281" s="13"/>
      <c r="GD281" s="13"/>
      <c r="GE281" s="13"/>
      <c r="GF281" s="13"/>
      <c r="GG281" s="13"/>
      <c r="GH281" s="13"/>
      <c r="GI281" s="13"/>
      <c r="GJ281" s="13"/>
      <c r="GK281" s="13"/>
      <c r="GL281" s="13"/>
      <c r="GM281" s="13"/>
      <c r="GN281" s="13"/>
      <c r="GO281" s="13"/>
      <c r="GP281" s="13"/>
      <c r="GQ281" s="13"/>
      <c r="GR281" s="13"/>
      <c r="GS281" s="13"/>
      <c r="GT281" s="13"/>
      <c r="GU281" s="13"/>
      <c r="GV281" s="13"/>
      <c r="GW281" s="13"/>
      <c r="GX281" s="13"/>
      <c r="GY281" s="13"/>
      <c r="GZ281" s="13"/>
      <c r="HA281" s="13"/>
      <c r="HB281" s="13"/>
      <c r="HC281" s="13"/>
      <c r="HD281" s="13"/>
      <c r="HE281" s="13"/>
      <c r="HF281" s="13"/>
      <c r="HG281" s="13"/>
      <c r="HH281" s="13"/>
      <c r="HI281" s="13"/>
      <c r="HJ281" s="13"/>
      <c r="HK281" s="13"/>
      <c r="HL281" s="13"/>
      <c r="HM281" s="13"/>
      <c r="HN281" s="13"/>
      <c r="HO281" s="13"/>
      <c r="HP281" s="13"/>
      <c r="HQ281" s="13"/>
      <c r="HR281" s="13"/>
      <c r="HS281" s="13"/>
      <c r="HT281" s="13"/>
      <c r="HU281" s="13"/>
      <c r="HV281" s="13"/>
      <c r="HW281" s="13"/>
      <c r="HX281" s="13"/>
      <c r="HY281" s="13"/>
      <c r="HZ281" s="13"/>
      <c r="IA281" s="13"/>
      <c r="IB281" s="13"/>
      <c r="IC281" s="13"/>
      <c r="ID281" s="13"/>
      <c r="IE281" s="13"/>
      <c r="IF281" s="13"/>
      <c r="IG281" s="13"/>
      <c r="IH281" s="13"/>
      <c r="II281" s="13"/>
      <c r="IJ281" s="13"/>
      <c r="IK281" s="13"/>
      <c r="IL281" s="13"/>
      <c r="IM281" s="13"/>
    </row>
    <row r="282" spans="1:247" s="10" customFormat="1" ht="30" x14ac:dyDescent="0.25">
      <c r="A282" s="18">
        <v>1</v>
      </c>
      <c r="B282" s="267" t="s">
        <v>80</v>
      </c>
      <c r="C282" s="327">
        <f t="shared" si="111"/>
        <v>1646</v>
      </c>
      <c r="D282" s="327">
        <f t="shared" si="111"/>
        <v>1097</v>
      </c>
      <c r="E282" s="327">
        <f t="shared" si="111"/>
        <v>865</v>
      </c>
      <c r="F282" s="327">
        <f t="shared" si="111"/>
        <v>78.8514129443938</v>
      </c>
      <c r="G282" s="513">
        <f t="shared" si="111"/>
        <v>3075.6923900000002</v>
      </c>
      <c r="H282" s="513">
        <f t="shared" si="111"/>
        <v>2050.46</v>
      </c>
      <c r="I282" s="513">
        <f t="shared" si="111"/>
        <v>1565.9209499999999</v>
      </c>
      <c r="J282" s="513">
        <f t="shared" si="111"/>
        <v>76.369251289954448</v>
      </c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13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  <c r="EH282" s="13"/>
      <c r="EI282" s="13"/>
      <c r="EJ282" s="13"/>
      <c r="EK282" s="13"/>
      <c r="EL282" s="13"/>
      <c r="EM282" s="13"/>
      <c r="EN282" s="13"/>
      <c r="EO282" s="13"/>
      <c r="EP282" s="13"/>
      <c r="EQ282" s="13"/>
      <c r="ER282" s="13"/>
      <c r="ES282" s="13"/>
      <c r="ET282" s="13"/>
      <c r="EU282" s="13"/>
      <c r="EV282" s="13"/>
      <c r="EW282" s="13"/>
      <c r="EX282" s="13"/>
      <c r="EY282" s="13"/>
      <c r="EZ282" s="13"/>
      <c r="FA282" s="13"/>
      <c r="FB282" s="13"/>
      <c r="FC282" s="13"/>
      <c r="FD282" s="13"/>
      <c r="FE282" s="13"/>
      <c r="FF282" s="13"/>
      <c r="FG282" s="13"/>
      <c r="FH282" s="13"/>
      <c r="FI282" s="13"/>
      <c r="FJ282" s="13"/>
      <c r="FK282" s="13"/>
      <c r="FL282" s="13"/>
      <c r="FM282" s="13"/>
      <c r="FN282" s="13"/>
      <c r="FO282" s="13"/>
      <c r="FP282" s="13"/>
      <c r="FQ282" s="13"/>
      <c r="FR282" s="13"/>
      <c r="FS282" s="13"/>
      <c r="FT282" s="13"/>
      <c r="FU282" s="13"/>
      <c r="FV282" s="13"/>
      <c r="FW282" s="13"/>
      <c r="FX282" s="13"/>
      <c r="FY282" s="13"/>
      <c r="FZ282" s="13"/>
      <c r="GA282" s="13"/>
      <c r="GB282" s="13"/>
      <c r="GC282" s="13"/>
      <c r="GD282" s="13"/>
      <c r="GE282" s="13"/>
      <c r="GF282" s="13"/>
      <c r="GG282" s="13"/>
      <c r="GH282" s="13"/>
      <c r="GI282" s="13"/>
      <c r="GJ282" s="13"/>
      <c r="GK282" s="13"/>
      <c r="GL282" s="13"/>
      <c r="GM282" s="13"/>
      <c r="GN282" s="13"/>
      <c r="GO282" s="13"/>
      <c r="GP282" s="13"/>
      <c r="GQ282" s="13"/>
      <c r="GR282" s="13"/>
      <c r="GS282" s="13"/>
      <c r="GT282" s="13"/>
      <c r="GU282" s="13"/>
      <c r="GV282" s="13"/>
      <c r="GW282" s="13"/>
      <c r="GX282" s="13"/>
      <c r="GY282" s="13"/>
      <c r="GZ282" s="13"/>
      <c r="HA282" s="13"/>
      <c r="HB282" s="13"/>
      <c r="HC282" s="13"/>
      <c r="HD282" s="13"/>
      <c r="HE282" s="13"/>
      <c r="HF282" s="13"/>
      <c r="HG282" s="13"/>
      <c r="HH282" s="13"/>
      <c r="HI282" s="13"/>
      <c r="HJ282" s="13"/>
      <c r="HK282" s="13"/>
      <c r="HL282" s="13"/>
      <c r="HM282" s="13"/>
      <c r="HN282" s="13"/>
      <c r="HO282" s="13"/>
      <c r="HP282" s="13"/>
      <c r="HQ282" s="13"/>
      <c r="HR282" s="13"/>
      <c r="HS282" s="13"/>
      <c r="HT282" s="13"/>
      <c r="HU282" s="13"/>
      <c r="HV282" s="13"/>
      <c r="HW282" s="13"/>
      <c r="HX282" s="13"/>
      <c r="HY282" s="13"/>
      <c r="HZ282" s="13"/>
      <c r="IA282" s="13"/>
      <c r="IB282" s="13"/>
      <c r="IC282" s="13"/>
      <c r="ID282" s="13"/>
      <c r="IE282" s="13"/>
      <c r="IF282" s="13"/>
      <c r="IG282" s="13"/>
      <c r="IH282" s="13"/>
      <c r="II282" s="13"/>
      <c r="IJ282" s="13"/>
      <c r="IK282" s="13"/>
      <c r="IL282" s="13"/>
      <c r="IM282" s="13"/>
    </row>
    <row r="283" spans="1:247" s="10" customFormat="1" ht="45" x14ac:dyDescent="0.25">
      <c r="A283" s="18">
        <v>1</v>
      </c>
      <c r="B283" s="267" t="s">
        <v>114</v>
      </c>
      <c r="C283" s="327">
        <f t="shared" si="111"/>
        <v>120</v>
      </c>
      <c r="D283" s="327">
        <f t="shared" si="111"/>
        <v>80</v>
      </c>
      <c r="E283" s="327">
        <f t="shared" si="111"/>
        <v>134</v>
      </c>
      <c r="F283" s="327">
        <f t="shared" si="111"/>
        <v>167.5</v>
      </c>
      <c r="G283" s="513">
        <f t="shared" si="111"/>
        <v>787.44960000000003</v>
      </c>
      <c r="H283" s="513">
        <f t="shared" si="111"/>
        <v>524.97</v>
      </c>
      <c r="I283" s="513">
        <f t="shared" si="111"/>
        <v>780.88751999999999</v>
      </c>
      <c r="J283" s="513">
        <f t="shared" si="111"/>
        <v>148.74897994171096</v>
      </c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13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  <c r="EH283" s="13"/>
      <c r="EI283" s="13"/>
      <c r="EJ283" s="13"/>
      <c r="EK283" s="13"/>
      <c r="EL283" s="13"/>
      <c r="EM283" s="13"/>
      <c r="EN283" s="13"/>
      <c r="EO283" s="13"/>
      <c r="EP283" s="13"/>
      <c r="EQ283" s="13"/>
      <c r="ER283" s="13"/>
      <c r="ES283" s="13"/>
      <c r="ET283" s="13"/>
      <c r="EU283" s="13"/>
      <c r="EV283" s="13"/>
      <c r="EW283" s="13"/>
      <c r="EX283" s="13"/>
      <c r="EY283" s="13"/>
      <c r="EZ283" s="13"/>
      <c r="FA283" s="13"/>
      <c r="FB283" s="13"/>
      <c r="FC283" s="13"/>
      <c r="FD283" s="13"/>
      <c r="FE283" s="13"/>
      <c r="FF283" s="13"/>
      <c r="FG283" s="13"/>
      <c r="FH283" s="13"/>
      <c r="FI283" s="13"/>
      <c r="FJ283" s="13"/>
      <c r="FK283" s="13"/>
      <c r="FL283" s="13"/>
      <c r="FM283" s="13"/>
      <c r="FN283" s="13"/>
      <c r="FO283" s="13"/>
      <c r="FP283" s="13"/>
      <c r="FQ283" s="13"/>
      <c r="FR283" s="13"/>
      <c r="FS283" s="13"/>
      <c r="FT283" s="13"/>
      <c r="FU283" s="13"/>
      <c r="FV283" s="13"/>
      <c r="FW283" s="13"/>
      <c r="FX283" s="13"/>
      <c r="FY283" s="13"/>
      <c r="FZ283" s="13"/>
      <c r="GA283" s="13"/>
      <c r="GB283" s="13"/>
      <c r="GC283" s="13"/>
      <c r="GD283" s="13"/>
      <c r="GE283" s="13"/>
      <c r="GF283" s="13"/>
      <c r="GG283" s="13"/>
      <c r="GH283" s="13"/>
      <c r="GI283" s="13"/>
      <c r="GJ283" s="13"/>
      <c r="GK283" s="13"/>
      <c r="GL283" s="13"/>
      <c r="GM283" s="13"/>
      <c r="GN283" s="13"/>
      <c r="GO283" s="13"/>
      <c r="GP283" s="13"/>
      <c r="GQ283" s="13"/>
      <c r="GR283" s="13"/>
      <c r="GS283" s="13"/>
      <c r="GT283" s="13"/>
      <c r="GU283" s="13"/>
      <c r="GV283" s="13"/>
      <c r="GW283" s="13"/>
      <c r="GX283" s="13"/>
      <c r="GY283" s="13"/>
      <c r="GZ283" s="13"/>
      <c r="HA283" s="13"/>
      <c r="HB283" s="13"/>
      <c r="HC283" s="13"/>
      <c r="HD283" s="13"/>
      <c r="HE283" s="13"/>
      <c r="HF283" s="13"/>
      <c r="HG283" s="13"/>
      <c r="HH283" s="13"/>
      <c r="HI283" s="13"/>
      <c r="HJ283" s="13"/>
      <c r="HK283" s="13"/>
      <c r="HL283" s="13"/>
      <c r="HM283" s="13"/>
      <c r="HN283" s="13"/>
      <c r="HO283" s="13"/>
      <c r="HP283" s="13"/>
      <c r="HQ283" s="13"/>
      <c r="HR283" s="13"/>
      <c r="HS283" s="13"/>
      <c r="HT283" s="13"/>
      <c r="HU283" s="13"/>
      <c r="HV283" s="13"/>
      <c r="HW283" s="13"/>
      <c r="HX283" s="13"/>
      <c r="HY283" s="13"/>
      <c r="HZ283" s="13"/>
      <c r="IA283" s="13"/>
      <c r="IB283" s="13"/>
      <c r="IC283" s="13"/>
      <c r="ID283" s="13"/>
      <c r="IE283" s="13"/>
      <c r="IF283" s="13"/>
      <c r="IG283" s="13"/>
      <c r="IH283" s="13"/>
      <c r="II283" s="13"/>
      <c r="IJ283" s="13"/>
      <c r="IK283" s="13"/>
      <c r="IL283" s="13"/>
      <c r="IM283" s="13"/>
    </row>
    <row r="284" spans="1:247" s="10" customFormat="1" ht="30" x14ac:dyDescent="0.25">
      <c r="A284" s="18">
        <v>1</v>
      </c>
      <c r="B284" s="267" t="s">
        <v>115</v>
      </c>
      <c r="C284" s="327">
        <f t="shared" si="111"/>
        <v>150</v>
      </c>
      <c r="D284" s="327">
        <f t="shared" si="111"/>
        <v>100</v>
      </c>
      <c r="E284" s="327">
        <f t="shared" si="111"/>
        <v>157</v>
      </c>
      <c r="F284" s="327">
        <f t="shared" si="111"/>
        <v>157</v>
      </c>
      <c r="G284" s="513">
        <f t="shared" si="111"/>
        <v>984.31200000000001</v>
      </c>
      <c r="H284" s="513">
        <f t="shared" si="111"/>
        <v>656.21</v>
      </c>
      <c r="I284" s="513">
        <f t="shared" si="111"/>
        <v>1030.2465600000003</v>
      </c>
      <c r="J284" s="513">
        <f t="shared" si="111"/>
        <v>156.99952149464352</v>
      </c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13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  <c r="EH284" s="13"/>
      <c r="EI284" s="13"/>
      <c r="EJ284" s="13"/>
      <c r="EK284" s="13"/>
      <c r="EL284" s="13"/>
      <c r="EM284" s="13"/>
      <c r="EN284" s="13"/>
      <c r="EO284" s="13"/>
      <c r="EP284" s="13"/>
      <c r="EQ284" s="13"/>
      <c r="ER284" s="13"/>
      <c r="ES284" s="13"/>
      <c r="ET284" s="13"/>
      <c r="EU284" s="13"/>
      <c r="EV284" s="13"/>
      <c r="EW284" s="13"/>
      <c r="EX284" s="13"/>
      <c r="EY284" s="13"/>
      <c r="EZ284" s="13"/>
      <c r="FA284" s="13"/>
      <c r="FB284" s="13"/>
      <c r="FC284" s="13"/>
      <c r="FD284" s="13"/>
      <c r="FE284" s="13"/>
      <c r="FF284" s="13"/>
      <c r="FG284" s="13"/>
      <c r="FH284" s="13"/>
      <c r="FI284" s="13"/>
      <c r="FJ284" s="13"/>
      <c r="FK284" s="13"/>
      <c r="FL284" s="13"/>
      <c r="FM284" s="13"/>
      <c r="FN284" s="13"/>
      <c r="FO284" s="13"/>
      <c r="FP284" s="13"/>
      <c r="FQ284" s="13"/>
      <c r="FR284" s="13"/>
      <c r="FS284" s="13"/>
      <c r="FT284" s="13"/>
      <c r="FU284" s="13"/>
      <c r="FV284" s="13"/>
      <c r="FW284" s="13"/>
      <c r="FX284" s="13"/>
      <c r="FY284" s="13"/>
      <c r="FZ284" s="13"/>
      <c r="GA284" s="13"/>
      <c r="GB284" s="13"/>
      <c r="GC284" s="13"/>
      <c r="GD284" s="13"/>
      <c r="GE284" s="13"/>
      <c r="GF284" s="13"/>
      <c r="GG284" s="13"/>
      <c r="GH284" s="13"/>
      <c r="GI284" s="13"/>
      <c r="GJ284" s="13"/>
      <c r="GK284" s="13"/>
      <c r="GL284" s="13"/>
      <c r="GM284" s="13"/>
      <c r="GN284" s="13"/>
      <c r="GO284" s="13"/>
      <c r="GP284" s="13"/>
      <c r="GQ284" s="13"/>
      <c r="GR284" s="13"/>
      <c r="GS284" s="13"/>
      <c r="GT284" s="13"/>
      <c r="GU284" s="13"/>
      <c r="GV284" s="13"/>
      <c r="GW284" s="13"/>
      <c r="GX284" s="13"/>
      <c r="GY284" s="13"/>
      <c r="GZ284" s="13"/>
      <c r="HA284" s="13"/>
      <c r="HB284" s="13"/>
      <c r="HC284" s="13"/>
      <c r="HD284" s="13"/>
      <c r="HE284" s="13"/>
      <c r="HF284" s="13"/>
      <c r="HG284" s="13"/>
      <c r="HH284" s="13"/>
      <c r="HI284" s="13"/>
      <c r="HJ284" s="13"/>
      <c r="HK284" s="13"/>
      <c r="HL284" s="13"/>
      <c r="HM284" s="13"/>
      <c r="HN284" s="13"/>
      <c r="HO284" s="13"/>
      <c r="HP284" s="13"/>
      <c r="HQ284" s="13"/>
      <c r="HR284" s="13"/>
      <c r="HS284" s="13"/>
      <c r="HT284" s="13"/>
      <c r="HU284" s="13"/>
      <c r="HV284" s="13"/>
      <c r="HW284" s="13"/>
      <c r="HX284" s="13"/>
      <c r="HY284" s="13"/>
      <c r="HZ284" s="13"/>
      <c r="IA284" s="13"/>
      <c r="IB284" s="13"/>
      <c r="IC284" s="13"/>
      <c r="ID284" s="13"/>
      <c r="IE284" s="13"/>
      <c r="IF284" s="13"/>
      <c r="IG284" s="13"/>
      <c r="IH284" s="13"/>
      <c r="II284" s="13"/>
      <c r="IJ284" s="13"/>
      <c r="IK284" s="13"/>
      <c r="IL284" s="13"/>
      <c r="IM284" s="13"/>
    </row>
    <row r="285" spans="1:247" s="10" customFormat="1" ht="30" x14ac:dyDescent="0.25">
      <c r="A285" s="18">
        <v>1</v>
      </c>
      <c r="B285" s="266" t="s">
        <v>112</v>
      </c>
      <c r="C285" s="327">
        <f t="shared" si="111"/>
        <v>12174</v>
      </c>
      <c r="D285" s="327">
        <f t="shared" si="111"/>
        <v>8116</v>
      </c>
      <c r="E285" s="327">
        <f t="shared" si="111"/>
        <v>7176</v>
      </c>
      <c r="F285" s="327">
        <f t="shared" si="111"/>
        <v>88.417939871858053</v>
      </c>
      <c r="G285" s="513">
        <f t="shared" si="111"/>
        <v>23609.339840000001</v>
      </c>
      <c r="H285" s="513">
        <f t="shared" si="111"/>
        <v>15739.560000000001</v>
      </c>
      <c r="I285" s="513">
        <f t="shared" si="111"/>
        <v>15063.080930000002</v>
      </c>
      <c r="J285" s="513">
        <f t="shared" si="111"/>
        <v>95.70204586405211</v>
      </c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13"/>
      <c r="DX285" s="13"/>
      <c r="DY285" s="13"/>
      <c r="DZ285" s="13"/>
      <c r="EA285" s="13"/>
      <c r="EB285" s="13"/>
      <c r="EC285" s="13"/>
      <c r="ED285" s="13"/>
      <c r="EE285" s="13"/>
      <c r="EF285" s="13"/>
      <c r="EG285" s="13"/>
      <c r="EH285" s="13"/>
      <c r="EI285" s="13"/>
      <c r="EJ285" s="13"/>
      <c r="EK285" s="13"/>
      <c r="EL285" s="13"/>
      <c r="EM285" s="13"/>
      <c r="EN285" s="13"/>
      <c r="EO285" s="13"/>
      <c r="EP285" s="13"/>
      <c r="EQ285" s="13"/>
      <c r="ER285" s="13"/>
      <c r="ES285" s="13"/>
      <c r="ET285" s="13"/>
      <c r="EU285" s="13"/>
      <c r="EV285" s="13"/>
      <c r="EW285" s="13"/>
      <c r="EX285" s="13"/>
      <c r="EY285" s="13"/>
      <c r="EZ285" s="13"/>
      <c r="FA285" s="13"/>
      <c r="FB285" s="13"/>
      <c r="FC285" s="13"/>
      <c r="FD285" s="13"/>
      <c r="FE285" s="13"/>
      <c r="FF285" s="13"/>
      <c r="FG285" s="13"/>
      <c r="FH285" s="13"/>
      <c r="FI285" s="13"/>
      <c r="FJ285" s="13"/>
      <c r="FK285" s="13"/>
      <c r="FL285" s="13"/>
      <c r="FM285" s="13"/>
      <c r="FN285" s="13"/>
      <c r="FO285" s="13"/>
      <c r="FP285" s="13"/>
      <c r="FQ285" s="13"/>
      <c r="FR285" s="13"/>
      <c r="FS285" s="13"/>
      <c r="FT285" s="13"/>
      <c r="FU285" s="13"/>
      <c r="FV285" s="13"/>
      <c r="FW285" s="13"/>
      <c r="FX285" s="13"/>
      <c r="FY285" s="13"/>
      <c r="FZ285" s="13"/>
      <c r="GA285" s="13"/>
      <c r="GB285" s="13"/>
      <c r="GC285" s="13"/>
      <c r="GD285" s="13"/>
      <c r="GE285" s="13"/>
      <c r="GF285" s="13"/>
      <c r="GG285" s="13"/>
      <c r="GH285" s="13"/>
      <c r="GI285" s="13"/>
      <c r="GJ285" s="13"/>
      <c r="GK285" s="13"/>
      <c r="GL285" s="13"/>
      <c r="GM285" s="13"/>
      <c r="GN285" s="13"/>
      <c r="GO285" s="13"/>
      <c r="GP285" s="13"/>
      <c r="GQ285" s="13"/>
      <c r="GR285" s="13"/>
      <c r="GS285" s="13"/>
      <c r="GT285" s="13"/>
      <c r="GU285" s="13"/>
      <c r="GV285" s="13"/>
      <c r="GW285" s="13"/>
      <c r="GX285" s="13"/>
      <c r="GY285" s="13"/>
      <c r="GZ285" s="13"/>
      <c r="HA285" s="13"/>
      <c r="HB285" s="13"/>
      <c r="HC285" s="13"/>
      <c r="HD285" s="13"/>
      <c r="HE285" s="13"/>
      <c r="HF285" s="13"/>
      <c r="HG285" s="13"/>
      <c r="HH285" s="13"/>
      <c r="HI285" s="13"/>
      <c r="HJ285" s="13"/>
      <c r="HK285" s="13"/>
      <c r="HL285" s="13"/>
      <c r="HM285" s="13"/>
      <c r="HN285" s="13"/>
      <c r="HO285" s="13"/>
      <c r="HP285" s="13"/>
      <c r="HQ285" s="13"/>
      <c r="HR285" s="13"/>
      <c r="HS285" s="13"/>
      <c r="HT285" s="13"/>
      <c r="HU285" s="13"/>
      <c r="HV285" s="13"/>
      <c r="HW285" s="13"/>
      <c r="HX285" s="13"/>
      <c r="HY285" s="13"/>
      <c r="HZ285" s="13"/>
      <c r="IA285" s="13"/>
      <c r="IB285" s="13"/>
      <c r="IC285" s="13"/>
      <c r="ID285" s="13"/>
      <c r="IE285" s="13"/>
      <c r="IF285" s="13"/>
      <c r="IG285" s="13"/>
      <c r="IH285" s="13"/>
      <c r="II285" s="13"/>
      <c r="IJ285" s="13"/>
      <c r="IK285" s="13"/>
      <c r="IL285" s="13"/>
      <c r="IM285" s="13"/>
    </row>
    <row r="286" spans="1:247" s="10" customFormat="1" ht="30" x14ac:dyDescent="0.25">
      <c r="A286" s="18">
        <v>1</v>
      </c>
      <c r="B286" s="267" t="s">
        <v>108</v>
      </c>
      <c r="C286" s="327">
        <f t="shared" si="111"/>
        <v>600</v>
      </c>
      <c r="D286" s="327">
        <f t="shared" si="111"/>
        <v>400</v>
      </c>
      <c r="E286" s="327">
        <f t="shared" si="111"/>
        <v>438</v>
      </c>
      <c r="F286" s="327">
        <f t="shared" si="111"/>
        <v>109.5</v>
      </c>
      <c r="G286" s="513">
        <f t="shared" si="111"/>
        <v>1272.306</v>
      </c>
      <c r="H286" s="513">
        <f t="shared" si="111"/>
        <v>848.2</v>
      </c>
      <c r="I286" s="513">
        <f t="shared" si="111"/>
        <v>921.47678000000008</v>
      </c>
      <c r="J286" s="513">
        <f t="shared" si="111"/>
        <v>108.63909219523697</v>
      </c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13"/>
      <c r="DX286" s="13"/>
      <c r="DY286" s="13"/>
      <c r="DZ286" s="13"/>
      <c r="EA286" s="13"/>
      <c r="EB286" s="13"/>
      <c r="EC286" s="13"/>
      <c r="ED286" s="13"/>
      <c r="EE286" s="13"/>
      <c r="EF286" s="13"/>
      <c r="EG286" s="13"/>
      <c r="EH286" s="13"/>
      <c r="EI286" s="13"/>
      <c r="EJ286" s="13"/>
      <c r="EK286" s="13"/>
      <c r="EL286" s="13"/>
      <c r="EM286" s="13"/>
      <c r="EN286" s="13"/>
      <c r="EO286" s="13"/>
      <c r="EP286" s="13"/>
      <c r="EQ286" s="13"/>
      <c r="ER286" s="13"/>
      <c r="ES286" s="13"/>
      <c r="ET286" s="13"/>
      <c r="EU286" s="13"/>
      <c r="EV286" s="13"/>
      <c r="EW286" s="13"/>
      <c r="EX286" s="13"/>
      <c r="EY286" s="13"/>
      <c r="EZ286" s="13"/>
      <c r="FA286" s="13"/>
      <c r="FB286" s="13"/>
      <c r="FC286" s="13"/>
      <c r="FD286" s="13"/>
      <c r="FE286" s="13"/>
      <c r="FF286" s="13"/>
      <c r="FG286" s="13"/>
      <c r="FH286" s="13"/>
      <c r="FI286" s="13"/>
      <c r="FJ286" s="13"/>
      <c r="FK286" s="13"/>
      <c r="FL286" s="13"/>
      <c r="FM286" s="13"/>
      <c r="FN286" s="13"/>
      <c r="FO286" s="13"/>
      <c r="FP286" s="13"/>
      <c r="FQ286" s="13"/>
      <c r="FR286" s="13"/>
      <c r="FS286" s="13"/>
      <c r="FT286" s="13"/>
      <c r="FU286" s="13"/>
      <c r="FV286" s="13"/>
      <c r="FW286" s="13"/>
      <c r="FX286" s="13"/>
      <c r="FY286" s="13"/>
      <c r="FZ286" s="13"/>
      <c r="GA286" s="13"/>
      <c r="GB286" s="13"/>
      <c r="GC286" s="13"/>
      <c r="GD286" s="13"/>
      <c r="GE286" s="13"/>
      <c r="GF286" s="13"/>
      <c r="GG286" s="13"/>
      <c r="GH286" s="13"/>
      <c r="GI286" s="13"/>
      <c r="GJ286" s="13"/>
      <c r="GK286" s="13"/>
      <c r="GL286" s="13"/>
      <c r="GM286" s="13"/>
      <c r="GN286" s="13"/>
      <c r="GO286" s="13"/>
      <c r="GP286" s="13"/>
      <c r="GQ286" s="13"/>
      <c r="GR286" s="13"/>
      <c r="GS286" s="13"/>
      <c r="GT286" s="13"/>
      <c r="GU286" s="13"/>
      <c r="GV286" s="13"/>
      <c r="GW286" s="13"/>
      <c r="GX286" s="13"/>
      <c r="GY286" s="13"/>
      <c r="GZ286" s="13"/>
      <c r="HA286" s="13"/>
      <c r="HB286" s="13"/>
      <c r="HC286" s="13"/>
      <c r="HD286" s="13"/>
      <c r="HE286" s="13"/>
      <c r="HF286" s="13"/>
      <c r="HG286" s="13"/>
      <c r="HH286" s="13"/>
      <c r="HI286" s="13"/>
      <c r="HJ286" s="13"/>
      <c r="HK286" s="13"/>
      <c r="HL286" s="13"/>
      <c r="HM286" s="13"/>
      <c r="HN286" s="13"/>
      <c r="HO286" s="13"/>
      <c r="HP286" s="13"/>
      <c r="HQ286" s="13"/>
      <c r="HR286" s="13"/>
      <c r="HS286" s="13"/>
      <c r="HT286" s="13"/>
      <c r="HU286" s="13"/>
      <c r="HV286" s="13"/>
      <c r="HW286" s="13"/>
      <c r="HX286" s="13"/>
      <c r="HY286" s="13"/>
      <c r="HZ286" s="13"/>
      <c r="IA286" s="13"/>
      <c r="IB286" s="13"/>
      <c r="IC286" s="13"/>
      <c r="ID286" s="13"/>
      <c r="IE286" s="13"/>
      <c r="IF286" s="13"/>
      <c r="IG286" s="13"/>
      <c r="IH286" s="13"/>
      <c r="II286" s="13"/>
      <c r="IJ286" s="13"/>
      <c r="IK286" s="13"/>
      <c r="IL286" s="13"/>
      <c r="IM286" s="13"/>
    </row>
    <row r="287" spans="1:247" s="10" customFormat="1" ht="42" customHeight="1" x14ac:dyDescent="0.25">
      <c r="A287" s="18">
        <v>1</v>
      </c>
      <c r="B287" s="267" t="s">
        <v>81</v>
      </c>
      <c r="C287" s="327">
        <f t="shared" si="111"/>
        <v>6200</v>
      </c>
      <c r="D287" s="327">
        <f t="shared" si="111"/>
        <v>4133</v>
      </c>
      <c r="E287" s="327">
        <f t="shared" si="111"/>
        <v>4735</v>
      </c>
      <c r="F287" s="327">
        <f t="shared" si="111"/>
        <v>114.56569078151463</v>
      </c>
      <c r="G287" s="513">
        <f t="shared" si="111"/>
        <v>17069.653999999999</v>
      </c>
      <c r="H287" s="513">
        <f t="shared" si="111"/>
        <v>11379.77</v>
      </c>
      <c r="I287" s="513">
        <f t="shared" si="111"/>
        <v>11971.454760000001</v>
      </c>
      <c r="J287" s="513">
        <f t="shared" si="111"/>
        <v>105.19944392549235</v>
      </c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13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  <c r="EH287" s="13"/>
      <c r="EI287" s="13"/>
      <c r="EJ287" s="13"/>
      <c r="EK287" s="13"/>
      <c r="EL287" s="13"/>
      <c r="EM287" s="13"/>
      <c r="EN287" s="13"/>
      <c r="EO287" s="13"/>
      <c r="EP287" s="13"/>
      <c r="EQ287" s="13"/>
      <c r="ER287" s="13"/>
      <c r="ES287" s="13"/>
      <c r="ET287" s="13"/>
      <c r="EU287" s="13"/>
      <c r="EV287" s="13"/>
      <c r="EW287" s="13"/>
      <c r="EX287" s="13"/>
      <c r="EY287" s="13"/>
      <c r="EZ287" s="13"/>
      <c r="FA287" s="13"/>
      <c r="FB287" s="13"/>
      <c r="FC287" s="13"/>
      <c r="FD287" s="13"/>
      <c r="FE287" s="13"/>
      <c r="FF287" s="13"/>
      <c r="FG287" s="13"/>
      <c r="FH287" s="13"/>
      <c r="FI287" s="13"/>
      <c r="FJ287" s="13"/>
      <c r="FK287" s="13"/>
      <c r="FL287" s="13"/>
      <c r="FM287" s="13"/>
      <c r="FN287" s="13"/>
      <c r="FO287" s="13"/>
      <c r="FP287" s="13"/>
      <c r="FQ287" s="13"/>
      <c r="FR287" s="13"/>
      <c r="FS287" s="13"/>
      <c r="FT287" s="13"/>
      <c r="FU287" s="13"/>
      <c r="FV287" s="13"/>
      <c r="FW287" s="13"/>
      <c r="FX287" s="13"/>
      <c r="FY287" s="13"/>
      <c r="FZ287" s="13"/>
      <c r="GA287" s="13"/>
      <c r="GB287" s="13"/>
      <c r="GC287" s="13"/>
      <c r="GD287" s="13"/>
      <c r="GE287" s="13"/>
      <c r="GF287" s="13"/>
      <c r="GG287" s="13"/>
      <c r="GH287" s="13"/>
      <c r="GI287" s="13"/>
      <c r="GJ287" s="13"/>
      <c r="GK287" s="13"/>
      <c r="GL287" s="13"/>
      <c r="GM287" s="13"/>
      <c r="GN287" s="13"/>
      <c r="GO287" s="13"/>
      <c r="GP287" s="13"/>
      <c r="GQ287" s="13"/>
      <c r="GR287" s="13"/>
      <c r="GS287" s="13"/>
      <c r="GT287" s="13"/>
      <c r="GU287" s="13"/>
      <c r="GV287" s="13"/>
      <c r="GW287" s="13"/>
      <c r="GX287" s="13"/>
      <c r="GY287" s="13"/>
      <c r="GZ287" s="13"/>
      <c r="HA287" s="13"/>
      <c r="HB287" s="13"/>
      <c r="HC287" s="13"/>
      <c r="HD287" s="13"/>
      <c r="HE287" s="13"/>
      <c r="HF287" s="13"/>
      <c r="HG287" s="13"/>
      <c r="HH287" s="13"/>
      <c r="HI287" s="13"/>
      <c r="HJ287" s="13"/>
      <c r="HK287" s="13"/>
      <c r="HL287" s="13"/>
      <c r="HM287" s="13"/>
      <c r="HN287" s="13"/>
      <c r="HO287" s="13"/>
      <c r="HP287" s="13"/>
      <c r="HQ287" s="13"/>
      <c r="HR287" s="13"/>
      <c r="HS287" s="13"/>
      <c r="HT287" s="13"/>
      <c r="HU287" s="13"/>
      <c r="HV287" s="13"/>
      <c r="HW287" s="13"/>
      <c r="HX287" s="13"/>
      <c r="HY287" s="13"/>
      <c r="HZ287" s="13"/>
      <c r="IA287" s="13"/>
      <c r="IB287" s="13"/>
      <c r="IC287" s="13"/>
      <c r="ID287" s="13"/>
      <c r="IE287" s="13"/>
      <c r="IF287" s="13"/>
      <c r="IG287" s="13"/>
      <c r="IH287" s="13"/>
      <c r="II287" s="13"/>
      <c r="IJ287" s="13"/>
      <c r="IK287" s="13"/>
      <c r="IL287" s="13"/>
      <c r="IM287" s="13"/>
    </row>
    <row r="288" spans="1:247" s="10" customFormat="1" ht="42" customHeight="1" x14ac:dyDescent="0.25">
      <c r="A288" s="18">
        <v>1</v>
      </c>
      <c r="B288" s="267" t="s">
        <v>109</v>
      </c>
      <c r="C288" s="327">
        <f t="shared" si="111"/>
        <v>5374</v>
      </c>
      <c r="D288" s="327">
        <f t="shared" si="111"/>
        <v>3583</v>
      </c>
      <c r="E288" s="327">
        <f t="shared" si="111"/>
        <v>2003</v>
      </c>
      <c r="F288" s="327">
        <f t="shared" si="111"/>
        <v>55.902874686017299</v>
      </c>
      <c r="G288" s="513">
        <f t="shared" si="111"/>
        <v>5267.3798399999996</v>
      </c>
      <c r="H288" s="513">
        <f t="shared" si="111"/>
        <v>3511.59</v>
      </c>
      <c r="I288" s="513">
        <f t="shared" si="111"/>
        <v>2170.14939</v>
      </c>
      <c r="J288" s="513">
        <f t="shared" si="111"/>
        <v>61.799623247588698</v>
      </c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13"/>
      <c r="DX288" s="13"/>
      <c r="DY288" s="13"/>
      <c r="DZ288" s="13"/>
      <c r="EA288" s="13"/>
      <c r="EB288" s="13"/>
      <c r="EC288" s="13"/>
      <c r="ED288" s="13"/>
      <c r="EE288" s="13"/>
      <c r="EF288" s="13"/>
      <c r="EG288" s="13"/>
      <c r="EH288" s="13"/>
      <c r="EI288" s="13"/>
      <c r="EJ288" s="13"/>
      <c r="EK288" s="13"/>
      <c r="EL288" s="13"/>
      <c r="EM288" s="13"/>
      <c r="EN288" s="13"/>
      <c r="EO288" s="13"/>
      <c r="EP288" s="13"/>
      <c r="EQ288" s="13"/>
      <c r="ER288" s="13"/>
      <c r="ES288" s="13"/>
      <c r="ET288" s="13"/>
      <c r="EU288" s="13"/>
      <c r="EV288" s="13"/>
      <c r="EW288" s="13"/>
      <c r="EX288" s="13"/>
      <c r="EY288" s="13"/>
      <c r="EZ288" s="13"/>
      <c r="FA288" s="13"/>
      <c r="FB288" s="13"/>
      <c r="FC288" s="13"/>
      <c r="FD288" s="13"/>
      <c r="FE288" s="13"/>
      <c r="FF288" s="13"/>
      <c r="FG288" s="13"/>
      <c r="FH288" s="13"/>
      <c r="FI288" s="13"/>
      <c r="FJ288" s="13"/>
      <c r="FK288" s="13"/>
      <c r="FL288" s="13"/>
      <c r="FM288" s="13"/>
      <c r="FN288" s="13"/>
      <c r="FO288" s="13"/>
      <c r="FP288" s="13"/>
      <c r="FQ288" s="13"/>
      <c r="FR288" s="13"/>
      <c r="FS288" s="13"/>
      <c r="FT288" s="13"/>
      <c r="FU288" s="13"/>
      <c r="FV288" s="13"/>
      <c r="FW288" s="13"/>
      <c r="FX288" s="13"/>
      <c r="FY288" s="13"/>
      <c r="FZ288" s="13"/>
      <c r="GA288" s="13"/>
      <c r="GB288" s="13"/>
      <c r="GC288" s="13"/>
      <c r="GD288" s="13"/>
      <c r="GE288" s="13"/>
      <c r="GF288" s="13"/>
      <c r="GG288" s="13"/>
      <c r="GH288" s="13"/>
      <c r="GI288" s="13"/>
      <c r="GJ288" s="13"/>
      <c r="GK288" s="13"/>
      <c r="GL288" s="13"/>
      <c r="GM288" s="13"/>
      <c r="GN288" s="13"/>
      <c r="GO288" s="13"/>
      <c r="GP288" s="13"/>
      <c r="GQ288" s="13"/>
      <c r="GR288" s="13"/>
      <c r="GS288" s="13"/>
      <c r="GT288" s="13"/>
      <c r="GU288" s="13"/>
      <c r="GV288" s="13"/>
      <c r="GW288" s="13"/>
      <c r="GX288" s="13"/>
      <c r="GY288" s="13"/>
      <c r="GZ288" s="13"/>
      <c r="HA288" s="13"/>
      <c r="HB288" s="13"/>
      <c r="HC288" s="13"/>
      <c r="HD288" s="13"/>
      <c r="HE288" s="13"/>
      <c r="HF288" s="13"/>
      <c r="HG288" s="13"/>
      <c r="HH288" s="13"/>
      <c r="HI288" s="13"/>
      <c r="HJ288" s="13"/>
      <c r="HK288" s="13"/>
      <c r="HL288" s="13"/>
      <c r="HM288" s="13"/>
      <c r="HN288" s="13"/>
      <c r="HO288" s="13"/>
      <c r="HP288" s="13"/>
      <c r="HQ288" s="13"/>
      <c r="HR288" s="13"/>
      <c r="HS288" s="13"/>
      <c r="HT288" s="13"/>
      <c r="HU288" s="13"/>
      <c r="HV288" s="13"/>
      <c r="HW288" s="13"/>
      <c r="HX288" s="13"/>
      <c r="HY288" s="13"/>
      <c r="HZ288" s="13"/>
      <c r="IA288" s="13"/>
      <c r="IB288" s="13"/>
      <c r="IC288" s="13"/>
      <c r="ID288" s="13"/>
      <c r="IE288" s="13"/>
      <c r="IF288" s="13"/>
      <c r="IG288" s="13"/>
      <c r="IH288" s="13"/>
      <c r="II288" s="13"/>
      <c r="IJ288" s="13"/>
      <c r="IK288" s="13"/>
      <c r="IL288" s="13"/>
      <c r="IM288" s="13"/>
    </row>
    <row r="289" spans="1:247" s="10" customFormat="1" ht="30" x14ac:dyDescent="0.25">
      <c r="A289" s="18"/>
      <c r="B289" s="267" t="s">
        <v>123</v>
      </c>
      <c r="C289" s="327">
        <f t="shared" si="111"/>
        <v>24500</v>
      </c>
      <c r="D289" s="327">
        <f t="shared" si="111"/>
        <v>16333</v>
      </c>
      <c r="E289" s="327">
        <f t="shared" si="111"/>
        <v>17910</v>
      </c>
      <c r="F289" s="327">
        <f t="shared" si="111"/>
        <v>109.65529908773648</v>
      </c>
      <c r="G289" s="513">
        <f t="shared" si="111"/>
        <v>23843.89</v>
      </c>
      <c r="H289" s="513">
        <f t="shared" si="111"/>
        <v>15895.93</v>
      </c>
      <c r="I289" s="513">
        <f t="shared" si="111"/>
        <v>17340.115469999997</v>
      </c>
      <c r="J289" s="513">
        <f t="shared" si="111"/>
        <v>109.0852530805055</v>
      </c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13"/>
      <c r="DX289" s="13"/>
      <c r="DY289" s="13"/>
      <c r="DZ289" s="13"/>
      <c r="EA289" s="13"/>
      <c r="EB289" s="13"/>
      <c r="EC289" s="13"/>
      <c r="ED289" s="13"/>
      <c r="EE289" s="13"/>
      <c r="EF289" s="13"/>
      <c r="EG289" s="13"/>
      <c r="EH289" s="13"/>
      <c r="EI289" s="13"/>
      <c r="EJ289" s="13"/>
      <c r="EK289" s="13"/>
      <c r="EL289" s="13"/>
      <c r="EM289" s="13"/>
      <c r="EN289" s="13"/>
      <c r="EO289" s="13"/>
      <c r="EP289" s="13"/>
      <c r="EQ289" s="13"/>
      <c r="ER289" s="13"/>
      <c r="ES289" s="13"/>
      <c r="ET289" s="13"/>
      <c r="EU289" s="13"/>
      <c r="EV289" s="13"/>
      <c r="EW289" s="13"/>
      <c r="EX289" s="13"/>
      <c r="EY289" s="13"/>
      <c r="EZ289" s="13"/>
      <c r="FA289" s="13"/>
      <c r="FB289" s="13"/>
      <c r="FC289" s="13"/>
      <c r="FD289" s="13"/>
      <c r="FE289" s="13"/>
      <c r="FF289" s="13"/>
      <c r="FG289" s="13"/>
      <c r="FH289" s="13"/>
      <c r="FI289" s="13"/>
      <c r="FJ289" s="13"/>
      <c r="FK289" s="13"/>
      <c r="FL289" s="13"/>
      <c r="FM289" s="13"/>
      <c r="FN289" s="13"/>
      <c r="FO289" s="13"/>
      <c r="FP289" s="13"/>
      <c r="FQ289" s="13"/>
      <c r="FR289" s="13"/>
      <c r="FS289" s="13"/>
      <c r="FT289" s="13"/>
      <c r="FU289" s="13"/>
      <c r="FV289" s="13"/>
      <c r="FW289" s="13"/>
      <c r="FX289" s="13"/>
      <c r="FY289" s="13"/>
      <c r="FZ289" s="13"/>
      <c r="GA289" s="13"/>
      <c r="GB289" s="13"/>
      <c r="GC289" s="13"/>
      <c r="GD289" s="13"/>
      <c r="GE289" s="13"/>
      <c r="GF289" s="13"/>
      <c r="GG289" s="13"/>
      <c r="GH289" s="13"/>
      <c r="GI289" s="13"/>
      <c r="GJ289" s="13"/>
      <c r="GK289" s="13"/>
      <c r="GL289" s="13"/>
      <c r="GM289" s="13"/>
      <c r="GN289" s="13"/>
      <c r="GO289" s="13"/>
      <c r="GP289" s="13"/>
      <c r="GQ289" s="13"/>
      <c r="GR289" s="13"/>
      <c r="GS289" s="13"/>
      <c r="GT289" s="13"/>
      <c r="GU289" s="13"/>
      <c r="GV289" s="13"/>
      <c r="GW289" s="13"/>
      <c r="GX289" s="13"/>
      <c r="GY289" s="13"/>
      <c r="GZ289" s="13"/>
      <c r="HA289" s="13"/>
      <c r="HB289" s="13"/>
      <c r="HC289" s="13"/>
      <c r="HD289" s="13"/>
      <c r="HE289" s="13"/>
      <c r="HF289" s="13"/>
      <c r="HG289" s="13"/>
      <c r="HH289" s="13"/>
      <c r="HI289" s="13"/>
      <c r="HJ289" s="13"/>
      <c r="HK289" s="13"/>
      <c r="HL289" s="13"/>
      <c r="HM289" s="13"/>
      <c r="HN289" s="13"/>
      <c r="HO289" s="13"/>
      <c r="HP289" s="13"/>
      <c r="HQ289" s="13"/>
      <c r="HR289" s="13"/>
      <c r="HS289" s="13"/>
      <c r="HT289" s="13"/>
      <c r="HU289" s="13"/>
      <c r="HV289" s="13"/>
      <c r="HW289" s="13"/>
      <c r="HX289" s="13"/>
      <c r="HY289" s="13"/>
      <c r="HZ289" s="13"/>
      <c r="IA289" s="13"/>
      <c r="IB289" s="13"/>
      <c r="IC289" s="13"/>
      <c r="ID289" s="13"/>
      <c r="IE289" s="13"/>
      <c r="IF289" s="13"/>
      <c r="IG289" s="13"/>
      <c r="IH289" s="13"/>
      <c r="II289" s="13"/>
      <c r="IJ289" s="13"/>
      <c r="IK289" s="13"/>
      <c r="IL289" s="13"/>
      <c r="IM289" s="13"/>
    </row>
    <row r="290" spans="1:247" s="10" customFormat="1" ht="30" x14ac:dyDescent="0.25">
      <c r="A290" s="18"/>
      <c r="B290" s="267" t="s">
        <v>124</v>
      </c>
      <c r="C290" s="327">
        <f t="shared" si="111"/>
        <v>2200</v>
      </c>
      <c r="D290" s="327">
        <f t="shared" si="111"/>
        <v>1467</v>
      </c>
      <c r="E290" s="327">
        <f t="shared" si="111"/>
        <v>672</v>
      </c>
      <c r="F290" s="327">
        <f t="shared" si="111"/>
        <v>45.807770961145195</v>
      </c>
      <c r="G290" s="513">
        <f t="shared" si="111"/>
        <v>2141.0839999999998</v>
      </c>
      <c r="H290" s="513">
        <f t="shared" si="111"/>
        <v>1427.39</v>
      </c>
      <c r="I290" s="513">
        <f t="shared" si="111"/>
        <v>646.48666999999989</v>
      </c>
      <c r="J290" s="513">
        <f t="shared" si="111"/>
        <v>45.291522989512316</v>
      </c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13"/>
      <c r="DX290" s="13"/>
      <c r="DY290" s="13"/>
      <c r="DZ290" s="13"/>
      <c r="EA290" s="13"/>
      <c r="EB290" s="13"/>
      <c r="EC290" s="13"/>
      <c r="ED290" s="13"/>
      <c r="EE290" s="13"/>
      <c r="EF290" s="13"/>
      <c r="EG290" s="13"/>
      <c r="EH290" s="13"/>
      <c r="EI290" s="13"/>
      <c r="EJ290" s="13"/>
      <c r="EK290" s="13"/>
      <c r="EL290" s="13"/>
      <c r="EM290" s="13"/>
      <c r="EN290" s="13"/>
      <c r="EO290" s="13"/>
      <c r="EP290" s="13"/>
      <c r="EQ290" s="13"/>
      <c r="ER290" s="13"/>
      <c r="ES290" s="13"/>
      <c r="ET290" s="13"/>
      <c r="EU290" s="13"/>
      <c r="EV290" s="13"/>
      <c r="EW290" s="13"/>
      <c r="EX290" s="13"/>
      <c r="EY290" s="13"/>
      <c r="EZ290" s="13"/>
      <c r="FA290" s="13"/>
      <c r="FB290" s="13"/>
      <c r="FC290" s="13"/>
      <c r="FD290" s="13"/>
      <c r="FE290" s="13"/>
      <c r="FF290" s="13"/>
      <c r="FG290" s="13"/>
      <c r="FH290" s="13"/>
      <c r="FI290" s="13"/>
      <c r="FJ290" s="13"/>
      <c r="FK290" s="13"/>
      <c r="FL290" s="13"/>
      <c r="FM290" s="13"/>
      <c r="FN290" s="13"/>
      <c r="FO290" s="13"/>
      <c r="FP290" s="13"/>
      <c r="FQ290" s="13"/>
      <c r="FR290" s="13"/>
      <c r="FS290" s="13"/>
      <c r="FT290" s="13"/>
      <c r="FU290" s="13"/>
      <c r="FV290" s="13"/>
      <c r="FW290" s="13"/>
      <c r="FX290" s="13"/>
      <c r="FY290" s="13"/>
      <c r="FZ290" s="13"/>
      <c r="GA290" s="13"/>
      <c r="GB290" s="13"/>
      <c r="GC290" s="13"/>
      <c r="GD290" s="13"/>
      <c r="GE290" s="13"/>
      <c r="GF290" s="13"/>
      <c r="GG290" s="13"/>
      <c r="GH290" s="13"/>
      <c r="GI290" s="13"/>
      <c r="GJ290" s="13"/>
      <c r="GK290" s="13"/>
      <c r="GL290" s="13"/>
      <c r="GM290" s="13"/>
      <c r="GN290" s="13"/>
      <c r="GO290" s="13"/>
      <c r="GP290" s="13"/>
      <c r="GQ290" s="13"/>
      <c r="GR290" s="13"/>
      <c r="GS290" s="13"/>
      <c r="GT290" s="13"/>
      <c r="GU290" s="13"/>
      <c r="GV290" s="13"/>
      <c r="GW290" s="13"/>
      <c r="GX290" s="13"/>
      <c r="GY290" s="13"/>
      <c r="GZ290" s="13"/>
      <c r="HA290" s="13"/>
      <c r="HB290" s="13"/>
      <c r="HC290" s="13"/>
      <c r="HD290" s="13"/>
      <c r="HE290" s="13"/>
      <c r="HF290" s="13"/>
      <c r="HG290" s="13"/>
      <c r="HH290" s="13"/>
      <c r="HI290" s="13"/>
      <c r="HJ290" s="13"/>
      <c r="HK290" s="13"/>
      <c r="HL290" s="13"/>
      <c r="HM290" s="13"/>
      <c r="HN290" s="13"/>
      <c r="HO290" s="13"/>
      <c r="HP290" s="13"/>
      <c r="HQ290" s="13"/>
      <c r="HR290" s="13"/>
      <c r="HS290" s="13"/>
      <c r="HT290" s="13"/>
      <c r="HU290" s="13"/>
      <c r="HV290" s="13"/>
      <c r="HW290" s="13"/>
      <c r="HX290" s="13"/>
      <c r="HY290" s="13"/>
      <c r="HZ290" s="13"/>
      <c r="IA290" s="13"/>
      <c r="IB290" s="13"/>
      <c r="IC290" s="13"/>
      <c r="ID290" s="13"/>
      <c r="IE290" s="13"/>
      <c r="IF290" s="13"/>
      <c r="IG290" s="13"/>
      <c r="IH290" s="13"/>
      <c r="II290" s="13"/>
      <c r="IJ290" s="13"/>
      <c r="IK290" s="13"/>
      <c r="IL290" s="13"/>
      <c r="IM290" s="13"/>
    </row>
    <row r="291" spans="1:247" s="10" customFormat="1" x14ac:dyDescent="0.25">
      <c r="A291" s="18"/>
      <c r="B291" s="267" t="s">
        <v>125</v>
      </c>
      <c r="C291" s="327">
        <f t="shared" si="111"/>
        <v>0</v>
      </c>
      <c r="D291" s="327">
        <f t="shared" si="111"/>
        <v>0</v>
      </c>
      <c r="E291" s="327">
        <f t="shared" si="111"/>
        <v>0</v>
      </c>
      <c r="F291" s="327">
        <f t="shared" si="111"/>
        <v>0</v>
      </c>
      <c r="G291" s="513">
        <f t="shared" si="111"/>
        <v>0</v>
      </c>
      <c r="H291" s="513">
        <f t="shared" si="111"/>
        <v>0</v>
      </c>
      <c r="I291" s="513">
        <f t="shared" si="111"/>
        <v>0</v>
      </c>
      <c r="J291" s="513">
        <f t="shared" si="111"/>
        <v>0</v>
      </c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13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  <c r="EH291" s="13"/>
      <c r="EI291" s="13"/>
      <c r="EJ291" s="13"/>
      <c r="EK291" s="13"/>
      <c r="EL291" s="13"/>
      <c r="EM291" s="13"/>
      <c r="EN291" s="13"/>
      <c r="EO291" s="13"/>
      <c r="EP291" s="13"/>
      <c r="EQ291" s="13"/>
      <c r="ER291" s="13"/>
      <c r="ES291" s="13"/>
      <c r="ET291" s="13"/>
      <c r="EU291" s="13"/>
      <c r="EV291" s="13"/>
      <c r="EW291" s="13"/>
      <c r="EX291" s="13"/>
      <c r="EY291" s="13"/>
      <c r="EZ291" s="13"/>
      <c r="FA291" s="13"/>
      <c r="FB291" s="13"/>
      <c r="FC291" s="13"/>
      <c r="FD291" s="13"/>
      <c r="FE291" s="13"/>
      <c r="FF291" s="13"/>
      <c r="FG291" s="13"/>
      <c r="FH291" s="13"/>
      <c r="FI291" s="13"/>
      <c r="FJ291" s="13"/>
      <c r="FK291" s="13"/>
      <c r="FL291" s="13"/>
      <c r="FM291" s="13"/>
      <c r="FN291" s="13"/>
      <c r="FO291" s="13"/>
      <c r="FP291" s="13"/>
      <c r="FQ291" s="13"/>
      <c r="FR291" s="13"/>
      <c r="FS291" s="13"/>
      <c r="FT291" s="13"/>
      <c r="FU291" s="13"/>
      <c r="FV291" s="13"/>
      <c r="FW291" s="13"/>
      <c r="FX291" s="13"/>
      <c r="FY291" s="13"/>
      <c r="FZ291" s="13"/>
      <c r="GA291" s="13"/>
      <c r="GB291" s="13"/>
      <c r="GC291" s="13"/>
      <c r="GD291" s="13"/>
      <c r="GE291" s="13"/>
      <c r="GF291" s="13"/>
      <c r="GG291" s="13"/>
      <c r="GH291" s="13"/>
      <c r="GI291" s="13"/>
      <c r="GJ291" s="13"/>
      <c r="GK291" s="13"/>
      <c r="GL291" s="13"/>
      <c r="GM291" s="13"/>
      <c r="GN291" s="13"/>
      <c r="GO291" s="13"/>
      <c r="GP291" s="13"/>
      <c r="GQ291" s="13"/>
      <c r="GR291" s="13"/>
      <c r="GS291" s="13"/>
      <c r="GT291" s="13"/>
      <c r="GU291" s="13"/>
      <c r="GV291" s="13"/>
      <c r="GW291" s="13"/>
      <c r="GX291" s="13"/>
      <c r="GY291" s="13"/>
      <c r="GZ291" s="13"/>
      <c r="HA291" s="13"/>
      <c r="HB291" s="13"/>
      <c r="HC291" s="13"/>
      <c r="HD291" s="13"/>
      <c r="HE291" s="13"/>
      <c r="HF291" s="13"/>
      <c r="HG291" s="13"/>
      <c r="HH291" s="13"/>
      <c r="HI291" s="13"/>
      <c r="HJ291" s="13"/>
      <c r="HK291" s="13"/>
      <c r="HL291" s="13"/>
      <c r="HM291" s="13"/>
      <c r="HN291" s="13"/>
      <c r="HO291" s="13"/>
      <c r="HP291" s="13"/>
      <c r="HQ291" s="13"/>
      <c r="HR291" s="13"/>
      <c r="HS291" s="13"/>
      <c r="HT291" s="13"/>
      <c r="HU291" s="13"/>
      <c r="HV291" s="13"/>
      <c r="HW291" s="13"/>
      <c r="HX291" s="13"/>
      <c r="HY291" s="13"/>
      <c r="HZ291" s="13"/>
      <c r="IA291" s="13"/>
      <c r="IB291" s="13"/>
      <c r="IC291" s="13"/>
      <c r="ID291" s="13"/>
      <c r="IE291" s="13"/>
      <c r="IF291" s="13"/>
      <c r="IG291" s="13"/>
      <c r="IH291" s="13"/>
      <c r="II291" s="13"/>
      <c r="IJ291" s="13"/>
      <c r="IK291" s="13"/>
      <c r="IL291" s="13"/>
      <c r="IM291" s="13"/>
    </row>
    <row r="292" spans="1:247" x14ac:dyDescent="0.25">
      <c r="A292" s="18">
        <v>1</v>
      </c>
      <c r="B292" s="268" t="s">
        <v>4</v>
      </c>
      <c r="C292" s="328">
        <f t="shared" si="111"/>
        <v>0</v>
      </c>
      <c r="D292" s="328">
        <f t="shared" si="111"/>
        <v>0</v>
      </c>
      <c r="E292" s="328">
        <f t="shared" si="111"/>
        <v>0</v>
      </c>
      <c r="F292" s="328">
        <f t="shared" si="111"/>
        <v>0</v>
      </c>
      <c r="G292" s="514">
        <f t="shared" si="111"/>
        <v>59815.193630000002</v>
      </c>
      <c r="H292" s="514">
        <f t="shared" si="111"/>
        <v>39876.800000000003</v>
      </c>
      <c r="I292" s="514">
        <f t="shared" si="111"/>
        <v>41342.779869999998</v>
      </c>
      <c r="J292" s="514">
        <f t="shared" si="111"/>
        <v>103.67627259459134</v>
      </c>
    </row>
    <row r="293" spans="1:247" ht="15.75" thickBot="1" x14ac:dyDescent="0.3">
      <c r="A293" s="18">
        <v>1</v>
      </c>
      <c r="B293" s="85" t="s">
        <v>9</v>
      </c>
      <c r="C293" s="5"/>
      <c r="D293" s="5"/>
      <c r="E293" s="167"/>
      <c r="F293" s="5"/>
      <c r="G293" s="502"/>
      <c r="H293" s="502"/>
      <c r="I293" s="503"/>
      <c r="J293" s="502"/>
    </row>
    <row r="294" spans="1:247" ht="29.25" x14ac:dyDescent="0.25">
      <c r="A294" s="18">
        <v>1</v>
      </c>
      <c r="B294" s="210" t="s">
        <v>77</v>
      </c>
      <c r="C294" s="139"/>
      <c r="D294" s="139"/>
      <c r="E294" s="139"/>
      <c r="F294" s="139"/>
      <c r="G294" s="503"/>
      <c r="H294" s="503"/>
      <c r="I294" s="503"/>
      <c r="J294" s="503"/>
    </row>
    <row r="295" spans="1:247" s="35" customFormat="1" ht="30" x14ac:dyDescent="0.25">
      <c r="A295" s="18">
        <v>1</v>
      </c>
      <c r="B295" s="72" t="s">
        <v>120</v>
      </c>
      <c r="C295" s="113">
        <f>SUM(C296:C299)</f>
        <v>4861</v>
      </c>
      <c r="D295" s="113">
        <f>SUM(D296:D299)</f>
        <v>3241</v>
      </c>
      <c r="E295" s="113">
        <f>SUM(E296:E299)</f>
        <v>3383</v>
      </c>
      <c r="F295" s="113">
        <f t="shared" ref="F295:F305" si="112">E295/D295*100</f>
        <v>104.38136377661216</v>
      </c>
      <c r="G295" s="465">
        <f>SUM(G296:G299)</f>
        <v>8528.838310000001</v>
      </c>
      <c r="H295" s="465">
        <f>SUM(H296:H299)</f>
        <v>5685.89</v>
      </c>
      <c r="I295" s="465">
        <f>SUM(I296:I299)</f>
        <v>6520.0886600000003</v>
      </c>
      <c r="J295" s="465">
        <f>I295/H295*100</f>
        <v>114.67138231657665</v>
      </c>
    </row>
    <row r="296" spans="1:247" s="35" customFormat="1" ht="30" x14ac:dyDescent="0.25">
      <c r="A296" s="18">
        <v>1</v>
      </c>
      <c r="B296" s="71" t="s">
        <v>79</v>
      </c>
      <c r="C296" s="113">
        <v>3562</v>
      </c>
      <c r="D296" s="107">
        <f t="shared" ref="D296:D303" si="113">ROUND(C296/12*$B$3,0)</f>
        <v>2375</v>
      </c>
      <c r="E296" s="113">
        <v>2352</v>
      </c>
      <c r="F296" s="113">
        <f t="shared" si="112"/>
        <v>99.03157894736843</v>
      </c>
      <c r="G296" s="465">
        <v>5021.9764000000005</v>
      </c>
      <c r="H296" s="638">
        <f t="shared" ref="H296:H299" si="114">ROUND(G296/12*$B$3,2)</f>
        <v>3347.98</v>
      </c>
      <c r="I296" s="507">
        <v>3426.45667</v>
      </c>
      <c r="J296" s="465">
        <f t="shared" ref="J296:J306" si="115">I296/H296*100</f>
        <v>102.34400056153264</v>
      </c>
    </row>
    <row r="297" spans="1:247" s="35" customFormat="1" ht="38.1" customHeight="1" x14ac:dyDescent="0.25">
      <c r="A297" s="18">
        <v>1</v>
      </c>
      <c r="B297" s="71" t="s">
        <v>80</v>
      </c>
      <c r="C297" s="113">
        <v>1069</v>
      </c>
      <c r="D297" s="107">
        <f t="shared" si="113"/>
        <v>713</v>
      </c>
      <c r="E297" s="113">
        <v>784</v>
      </c>
      <c r="F297" s="113">
        <f t="shared" si="112"/>
        <v>109.95792426367461</v>
      </c>
      <c r="G297" s="465">
        <v>1997.5835100000002</v>
      </c>
      <c r="H297" s="638">
        <f t="shared" si="114"/>
        <v>1331.72</v>
      </c>
      <c r="I297" s="465">
        <v>1485.9227299999998</v>
      </c>
      <c r="J297" s="465">
        <f t="shared" si="115"/>
        <v>111.57921560087705</v>
      </c>
    </row>
    <row r="298" spans="1:247" s="35" customFormat="1" ht="45" x14ac:dyDescent="0.25">
      <c r="A298" s="18">
        <v>1</v>
      </c>
      <c r="B298" s="71" t="s">
        <v>114</v>
      </c>
      <c r="C298" s="113">
        <v>80</v>
      </c>
      <c r="D298" s="107">
        <f t="shared" si="113"/>
        <v>53</v>
      </c>
      <c r="E298" s="113">
        <v>95</v>
      </c>
      <c r="F298" s="113">
        <f t="shared" si="112"/>
        <v>179.24528301886792</v>
      </c>
      <c r="G298" s="465">
        <v>524.96640000000002</v>
      </c>
      <c r="H298" s="638">
        <f t="shared" si="114"/>
        <v>349.98</v>
      </c>
      <c r="I298" s="465">
        <v>623.39760000000001</v>
      </c>
      <c r="J298" s="465">
        <f t="shared" si="115"/>
        <v>178.12377850162866</v>
      </c>
    </row>
    <row r="299" spans="1:247" s="35" customFormat="1" ht="30" x14ac:dyDescent="0.25">
      <c r="A299" s="18">
        <v>1</v>
      </c>
      <c r="B299" s="71" t="s">
        <v>115</v>
      </c>
      <c r="C299" s="113">
        <v>150</v>
      </c>
      <c r="D299" s="107">
        <f t="shared" si="113"/>
        <v>100</v>
      </c>
      <c r="E299" s="113">
        <v>152</v>
      </c>
      <c r="F299" s="113">
        <f t="shared" si="112"/>
        <v>152</v>
      </c>
      <c r="G299" s="465">
        <v>984.31200000000001</v>
      </c>
      <c r="H299" s="638">
        <f t="shared" si="114"/>
        <v>656.21</v>
      </c>
      <c r="I299" s="465">
        <v>984.31166000000007</v>
      </c>
      <c r="J299" s="465">
        <f t="shared" si="115"/>
        <v>149.9994910165953</v>
      </c>
    </row>
    <row r="300" spans="1:247" s="35" customFormat="1" ht="30" x14ac:dyDescent="0.25">
      <c r="A300" s="18">
        <v>1</v>
      </c>
      <c r="B300" s="72" t="s">
        <v>112</v>
      </c>
      <c r="C300" s="113">
        <f>SUM(C301:C303)</f>
        <v>11260</v>
      </c>
      <c r="D300" s="113">
        <f>SUM(D301:D303)</f>
        <v>7507</v>
      </c>
      <c r="E300" s="113">
        <f>SUM(E301:E303)</f>
        <v>4823</v>
      </c>
      <c r="F300" s="113">
        <f t="shared" si="112"/>
        <v>64.246703077128004</v>
      </c>
      <c r="G300" s="458">
        <f>SUM(G301:G303)</f>
        <v>21966.778599999998</v>
      </c>
      <c r="H300" s="458">
        <f>SUM(H301:H303)</f>
        <v>14644.52</v>
      </c>
      <c r="I300" s="458">
        <f>SUM(I301:I303)</f>
        <v>12135.271679999998</v>
      </c>
      <c r="J300" s="465">
        <f t="shared" si="115"/>
        <v>82.865615807141495</v>
      </c>
    </row>
    <row r="301" spans="1:247" s="35" customFormat="1" ht="30" x14ac:dyDescent="0.25">
      <c r="A301" s="18">
        <v>1</v>
      </c>
      <c r="B301" s="71" t="s">
        <v>108</v>
      </c>
      <c r="C301" s="113">
        <v>1500</v>
      </c>
      <c r="D301" s="107">
        <f t="shared" si="113"/>
        <v>1000</v>
      </c>
      <c r="E301" s="113">
        <v>676</v>
      </c>
      <c r="F301" s="113">
        <f t="shared" si="112"/>
        <v>67.600000000000009</v>
      </c>
      <c r="G301" s="465">
        <f>3180765/1000</f>
        <v>3180.7649999999999</v>
      </c>
      <c r="H301" s="638">
        <f t="shared" ref="H301:H305" si="116">ROUND(G301/12*$B$3,2)</f>
        <v>2120.5100000000002</v>
      </c>
      <c r="I301" s="465">
        <v>1407.4107799999999</v>
      </c>
      <c r="J301" s="465">
        <f t="shared" si="115"/>
        <v>66.371334254495366</v>
      </c>
    </row>
    <row r="302" spans="1:247" s="35" customFormat="1" ht="64.5" customHeight="1" x14ac:dyDescent="0.25">
      <c r="A302" s="18">
        <v>1</v>
      </c>
      <c r="B302" s="71" t="s">
        <v>119</v>
      </c>
      <c r="C302" s="113">
        <v>5200</v>
      </c>
      <c r="D302" s="107">
        <f t="shared" si="113"/>
        <v>3467</v>
      </c>
      <c r="E302" s="113">
        <v>2989</v>
      </c>
      <c r="F302" s="113">
        <f t="shared" si="112"/>
        <v>86.212864147678104</v>
      </c>
      <c r="G302" s="465">
        <f>14316484/1000</f>
        <v>14316.484</v>
      </c>
      <c r="H302" s="638">
        <f t="shared" si="116"/>
        <v>9544.32</v>
      </c>
      <c r="I302" s="465">
        <v>9442.647799999997</v>
      </c>
      <c r="J302" s="465">
        <f t="shared" si="115"/>
        <v>98.934736052437444</v>
      </c>
    </row>
    <row r="303" spans="1:247" s="35" customFormat="1" ht="45" x14ac:dyDescent="0.25">
      <c r="A303" s="18">
        <v>1</v>
      </c>
      <c r="B303" s="71" t="s">
        <v>109</v>
      </c>
      <c r="C303" s="113">
        <v>4560</v>
      </c>
      <c r="D303" s="107">
        <f t="shared" si="113"/>
        <v>3040</v>
      </c>
      <c r="E303" s="113">
        <v>1158</v>
      </c>
      <c r="F303" s="113">
        <f t="shared" si="112"/>
        <v>38.09210526315789</v>
      </c>
      <c r="G303" s="465">
        <f>4469529.6/1000</f>
        <v>4469.5295999999998</v>
      </c>
      <c r="H303" s="638">
        <f t="shared" si="116"/>
        <v>2979.69</v>
      </c>
      <c r="I303" s="465">
        <v>1285.2131000000004</v>
      </c>
      <c r="J303" s="465">
        <f t="shared" si="115"/>
        <v>43.132443307860896</v>
      </c>
    </row>
    <row r="304" spans="1:247" s="35" customFormat="1" ht="30" x14ac:dyDescent="0.25">
      <c r="A304" s="18"/>
      <c r="B304" s="658" t="s">
        <v>123</v>
      </c>
      <c r="C304" s="113">
        <v>15083</v>
      </c>
      <c r="D304" s="107">
        <f>ROUND(C304/12*$B$3,0)</f>
        <v>10055</v>
      </c>
      <c r="E304" s="113">
        <f>3107+E305</f>
        <v>4342</v>
      </c>
      <c r="F304" s="113">
        <f t="shared" si="112"/>
        <v>43.182496270512182</v>
      </c>
      <c r="G304" s="465">
        <v>16224.550620000002</v>
      </c>
      <c r="H304" s="638">
        <f t="shared" si="116"/>
        <v>10816.37</v>
      </c>
      <c r="I304" s="465">
        <f>3000.6903+I305</f>
        <v>4197.03658</v>
      </c>
      <c r="J304" s="465">
        <f>I304/H304*100</f>
        <v>38.802635079975992</v>
      </c>
    </row>
    <row r="305" spans="1:247" s="35" customFormat="1" ht="30" x14ac:dyDescent="0.25">
      <c r="A305" s="18"/>
      <c r="B305" s="718" t="s">
        <v>125</v>
      </c>
      <c r="C305" s="113">
        <v>1500</v>
      </c>
      <c r="D305" s="107">
        <f>ROUND(C305/12*$B$3,0)</f>
        <v>1000</v>
      </c>
      <c r="E305" s="113">
        <v>1235</v>
      </c>
      <c r="F305" s="113">
        <f t="shared" si="112"/>
        <v>123.50000000000001</v>
      </c>
      <c r="G305" s="465">
        <v>1459.8300000000002</v>
      </c>
      <c r="H305" s="638">
        <f t="shared" si="116"/>
        <v>973.22</v>
      </c>
      <c r="I305" s="465">
        <v>1196.34628</v>
      </c>
      <c r="J305" s="465">
        <f>I305/H305*100</f>
        <v>122.92660241260968</v>
      </c>
    </row>
    <row r="306" spans="1:247" s="35" customFormat="1" ht="25.5" customHeight="1" thickBot="1" x14ac:dyDescent="0.3">
      <c r="A306" s="18">
        <v>1</v>
      </c>
      <c r="B306" s="37" t="s">
        <v>3</v>
      </c>
      <c r="C306" s="24"/>
      <c r="D306" s="24"/>
      <c r="E306" s="24"/>
      <c r="F306" s="24"/>
      <c r="G306" s="469">
        <f>G300+G295+G304</f>
        <v>46720.167529999999</v>
      </c>
      <c r="H306" s="469">
        <f>H300+H295+H304</f>
        <v>31146.78</v>
      </c>
      <c r="I306" s="469">
        <f>I300+I295+I304</f>
        <v>22852.396919999999</v>
      </c>
      <c r="J306" s="469">
        <f t="shared" si="115"/>
        <v>73.370014235821486</v>
      </c>
    </row>
    <row r="307" spans="1:247" ht="15" customHeight="1" x14ac:dyDescent="0.25">
      <c r="A307" s="18">
        <v>1</v>
      </c>
      <c r="B307" s="269" t="s">
        <v>48</v>
      </c>
      <c r="C307" s="259"/>
      <c r="D307" s="259"/>
      <c r="E307" s="259"/>
      <c r="F307" s="259"/>
      <c r="G307" s="515"/>
      <c r="H307" s="515"/>
      <c r="I307" s="515"/>
      <c r="J307" s="515"/>
    </row>
    <row r="308" spans="1:247" s="10" customFormat="1" ht="30" x14ac:dyDescent="0.25">
      <c r="A308" s="18">
        <v>1</v>
      </c>
      <c r="B308" s="257" t="s">
        <v>120</v>
      </c>
      <c r="C308" s="329">
        <f t="shared" ref="C308:J318" si="117">C295</f>
        <v>4861</v>
      </c>
      <c r="D308" s="329">
        <f t="shared" si="117"/>
        <v>3241</v>
      </c>
      <c r="E308" s="329">
        <f t="shared" si="117"/>
        <v>3383</v>
      </c>
      <c r="F308" s="329">
        <f t="shared" si="117"/>
        <v>104.38136377661216</v>
      </c>
      <c r="G308" s="516">
        <f t="shared" si="117"/>
        <v>8528.838310000001</v>
      </c>
      <c r="H308" s="516">
        <f t="shared" si="117"/>
        <v>5685.89</v>
      </c>
      <c r="I308" s="516">
        <f t="shared" si="117"/>
        <v>6520.0886600000003</v>
      </c>
      <c r="J308" s="516">
        <f t="shared" si="117"/>
        <v>114.67138231657665</v>
      </c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  <c r="DH308" s="13"/>
      <c r="DI308" s="13"/>
      <c r="DJ308" s="13"/>
      <c r="DK308" s="13"/>
      <c r="DL308" s="13"/>
      <c r="DM308" s="13"/>
      <c r="DN308" s="13"/>
      <c r="DO308" s="13"/>
      <c r="DP308" s="13"/>
      <c r="DQ308" s="13"/>
      <c r="DR308" s="13"/>
      <c r="DS308" s="13"/>
      <c r="DT308" s="13"/>
      <c r="DU308" s="13"/>
      <c r="DV308" s="13"/>
      <c r="DW308" s="13"/>
      <c r="DX308" s="13"/>
      <c r="DY308" s="13"/>
      <c r="DZ308" s="13"/>
      <c r="EA308" s="13"/>
      <c r="EB308" s="13"/>
      <c r="EC308" s="13"/>
      <c r="ED308" s="13"/>
      <c r="EE308" s="13"/>
      <c r="EF308" s="13"/>
      <c r="EG308" s="13"/>
      <c r="EH308" s="13"/>
      <c r="EI308" s="13"/>
      <c r="EJ308" s="13"/>
      <c r="EK308" s="13"/>
      <c r="EL308" s="13"/>
      <c r="EM308" s="13"/>
      <c r="EN308" s="13"/>
      <c r="EO308" s="13"/>
      <c r="EP308" s="13"/>
      <c r="EQ308" s="13"/>
      <c r="ER308" s="13"/>
      <c r="ES308" s="13"/>
      <c r="ET308" s="13"/>
      <c r="EU308" s="13"/>
      <c r="EV308" s="13"/>
      <c r="EW308" s="13"/>
      <c r="EX308" s="13"/>
      <c r="EY308" s="13"/>
      <c r="EZ308" s="13"/>
      <c r="FA308" s="13"/>
      <c r="FB308" s="13"/>
      <c r="FC308" s="13"/>
      <c r="FD308" s="13"/>
      <c r="FE308" s="13"/>
      <c r="FF308" s="13"/>
      <c r="FG308" s="13"/>
      <c r="FH308" s="13"/>
      <c r="FI308" s="13"/>
      <c r="FJ308" s="13"/>
      <c r="FK308" s="13"/>
      <c r="FL308" s="13"/>
      <c r="FM308" s="13"/>
      <c r="FN308" s="13"/>
      <c r="FO308" s="13"/>
      <c r="FP308" s="13"/>
      <c r="FQ308" s="13"/>
      <c r="FR308" s="13"/>
      <c r="FS308" s="13"/>
      <c r="FT308" s="13"/>
      <c r="FU308" s="13"/>
      <c r="FV308" s="13"/>
      <c r="FW308" s="13"/>
      <c r="FX308" s="13"/>
      <c r="FY308" s="13"/>
      <c r="FZ308" s="13"/>
      <c r="GA308" s="13"/>
      <c r="GB308" s="13"/>
      <c r="GC308" s="13"/>
      <c r="GD308" s="13"/>
      <c r="GE308" s="13"/>
      <c r="GF308" s="13"/>
      <c r="GG308" s="13"/>
      <c r="GH308" s="13"/>
      <c r="GI308" s="13"/>
      <c r="GJ308" s="13"/>
      <c r="GK308" s="13"/>
      <c r="GL308" s="13"/>
      <c r="GM308" s="13"/>
      <c r="GN308" s="13"/>
      <c r="GO308" s="13"/>
      <c r="GP308" s="13"/>
      <c r="GQ308" s="13"/>
      <c r="GR308" s="13"/>
      <c r="GS308" s="13"/>
      <c r="GT308" s="13"/>
      <c r="GU308" s="13"/>
      <c r="GV308" s="13"/>
      <c r="GW308" s="13"/>
      <c r="GX308" s="13"/>
      <c r="GY308" s="13"/>
      <c r="GZ308" s="13"/>
      <c r="HA308" s="13"/>
      <c r="HB308" s="13"/>
      <c r="HC308" s="13"/>
      <c r="HD308" s="13"/>
      <c r="HE308" s="13"/>
      <c r="HF308" s="13"/>
      <c r="HG308" s="13"/>
      <c r="HH308" s="13"/>
      <c r="HI308" s="13"/>
      <c r="HJ308" s="13"/>
      <c r="HK308" s="13"/>
      <c r="HL308" s="13"/>
      <c r="HM308" s="13"/>
      <c r="HN308" s="13"/>
      <c r="HO308" s="13"/>
      <c r="HP308" s="13"/>
      <c r="HQ308" s="13"/>
      <c r="HR308" s="13"/>
      <c r="HS308" s="13"/>
      <c r="HT308" s="13"/>
      <c r="HU308" s="13"/>
      <c r="HV308" s="13"/>
      <c r="HW308" s="13"/>
      <c r="HX308" s="13"/>
      <c r="HY308" s="13"/>
      <c r="HZ308" s="13"/>
      <c r="IA308" s="13"/>
      <c r="IB308" s="13"/>
      <c r="IC308" s="13"/>
      <c r="ID308" s="13"/>
      <c r="IE308" s="13"/>
      <c r="IF308" s="13"/>
      <c r="IG308" s="13"/>
      <c r="IH308" s="13"/>
      <c r="II308" s="13"/>
      <c r="IJ308" s="13"/>
      <c r="IK308" s="13"/>
      <c r="IL308" s="13"/>
      <c r="IM308" s="13"/>
    </row>
    <row r="309" spans="1:247" s="10" customFormat="1" ht="30" x14ac:dyDescent="0.25">
      <c r="A309" s="18">
        <v>1</v>
      </c>
      <c r="B309" s="131" t="s">
        <v>79</v>
      </c>
      <c r="C309" s="329">
        <f t="shared" si="117"/>
        <v>3562</v>
      </c>
      <c r="D309" s="329">
        <f t="shared" si="117"/>
        <v>2375</v>
      </c>
      <c r="E309" s="329">
        <f t="shared" si="117"/>
        <v>2352</v>
      </c>
      <c r="F309" s="329">
        <f t="shared" si="117"/>
        <v>99.03157894736843</v>
      </c>
      <c r="G309" s="516">
        <f t="shared" si="117"/>
        <v>5021.9764000000005</v>
      </c>
      <c r="H309" s="516">
        <f t="shared" si="117"/>
        <v>3347.98</v>
      </c>
      <c r="I309" s="516">
        <f t="shared" si="117"/>
        <v>3426.45667</v>
      </c>
      <c r="J309" s="516">
        <f t="shared" si="117"/>
        <v>102.34400056153264</v>
      </c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  <c r="DH309" s="13"/>
      <c r="DI309" s="13"/>
      <c r="DJ309" s="13"/>
      <c r="DK309" s="13"/>
      <c r="DL309" s="13"/>
      <c r="DM309" s="13"/>
      <c r="DN309" s="13"/>
      <c r="DO309" s="13"/>
      <c r="DP309" s="13"/>
      <c r="DQ309" s="13"/>
      <c r="DR309" s="13"/>
      <c r="DS309" s="13"/>
      <c r="DT309" s="13"/>
      <c r="DU309" s="13"/>
      <c r="DV309" s="13"/>
      <c r="DW309" s="13"/>
      <c r="DX309" s="13"/>
      <c r="DY309" s="13"/>
      <c r="DZ309" s="13"/>
      <c r="EA309" s="13"/>
      <c r="EB309" s="13"/>
      <c r="EC309" s="13"/>
      <c r="ED309" s="13"/>
      <c r="EE309" s="13"/>
      <c r="EF309" s="13"/>
      <c r="EG309" s="13"/>
      <c r="EH309" s="13"/>
      <c r="EI309" s="13"/>
      <c r="EJ309" s="13"/>
      <c r="EK309" s="13"/>
      <c r="EL309" s="13"/>
      <c r="EM309" s="13"/>
      <c r="EN309" s="13"/>
      <c r="EO309" s="13"/>
      <c r="EP309" s="13"/>
      <c r="EQ309" s="13"/>
      <c r="ER309" s="13"/>
      <c r="ES309" s="13"/>
      <c r="ET309" s="13"/>
      <c r="EU309" s="13"/>
      <c r="EV309" s="13"/>
      <c r="EW309" s="13"/>
      <c r="EX309" s="13"/>
      <c r="EY309" s="13"/>
      <c r="EZ309" s="13"/>
      <c r="FA309" s="13"/>
      <c r="FB309" s="13"/>
      <c r="FC309" s="13"/>
      <c r="FD309" s="13"/>
      <c r="FE309" s="13"/>
      <c r="FF309" s="13"/>
      <c r="FG309" s="13"/>
      <c r="FH309" s="13"/>
      <c r="FI309" s="13"/>
      <c r="FJ309" s="13"/>
      <c r="FK309" s="13"/>
      <c r="FL309" s="13"/>
      <c r="FM309" s="13"/>
      <c r="FN309" s="13"/>
      <c r="FO309" s="13"/>
      <c r="FP309" s="13"/>
      <c r="FQ309" s="13"/>
      <c r="FR309" s="13"/>
      <c r="FS309" s="13"/>
      <c r="FT309" s="13"/>
      <c r="FU309" s="13"/>
      <c r="FV309" s="13"/>
      <c r="FW309" s="13"/>
      <c r="FX309" s="13"/>
      <c r="FY309" s="13"/>
      <c r="FZ309" s="13"/>
      <c r="GA309" s="13"/>
      <c r="GB309" s="13"/>
      <c r="GC309" s="13"/>
      <c r="GD309" s="13"/>
      <c r="GE309" s="13"/>
      <c r="GF309" s="13"/>
      <c r="GG309" s="13"/>
      <c r="GH309" s="13"/>
      <c r="GI309" s="13"/>
      <c r="GJ309" s="13"/>
      <c r="GK309" s="13"/>
      <c r="GL309" s="13"/>
      <c r="GM309" s="13"/>
      <c r="GN309" s="13"/>
      <c r="GO309" s="13"/>
      <c r="GP309" s="13"/>
      <c r="GQ309" s="13"/>
      <c r="GR309" s="13"/>
      <c r="GS309" s="13"/>
      <c r="GT309" s="13"/>
      <c r="GU309" s="13"/>
      <c r="GV309" s="13"/>
      <c r="GW309" s="13"/>
      <c r="GX309" s="13"/>
      <c r="GY309" s="13"/>
      <c r="GZ309" s="13"/>
      <c r="HA309" s="13"/>
      <c r="HB309" s="13"/>
      <c r="HC309" s="13"/>
      <c r="HD309" s="13"/>
      <c r="HE309" s="13"/>
      <c r="HF309" s="13"/>
      <c r="HG309" s="13"/>
      <c r="HH309" s="13"/>
      <c r="HI309" s="13"/>
      <c r="HJ309" s="13"/>
      <c r="HK309" s="13"/>
      <c r="HL309" s="13"/>
      <c r="HM309" s="13"/>
      <c r="HN309" s="13"/>
      <c r="HO309" s="13"/>
      <c r="HP309" s="13"/>
      <c r="HQ309" s="13"/>
      <c r="HR309" s="13"/>
      <c r="HS309" s="13"/>
      <c r="HT309" s="13"/>
      <c r="HU309" s="13"/>
      <c r="HV309" s="13"/>
      <c r="HW309" s="13"/>
      <c r="HX309" s="13"/>
      <c r="HY309" s="13"/>
      <c r="HZ309" s="13"/>
      <c r="IA309" s="13"/>
      <c r="IB309" s="13"/>
      <c r="IC309" s="13"/>
      <c r="ID309" s="13"/>
      <c r="IE309" s="13"/>
      <c r="IF309" s="13"/>
      <c r="IG309" s="13"/>
      <c r="IH309" s="13"/>
      <c r="II309" s="13"/>
      <c r="IJ309" s="13"/>
      <c r="IK309" s="13"/>
      <c r="IL309" s="13"/>
      <c r="IM309" s="13"/>
    </row>
    <row r="310" spans="1:247" s="10" customFormat="1" ht="30" x14ac:dyDescent="0.25">
      <c r="A310" s="18">
        <v>1</v>
      </c>
      <c r="B310" s="131" t="s">
        <v>80</v>
      </c>
      <c r="C310" s="329">
        <f t="shared" si="117"/>
        <v>1069</v>
      </c>
      <c r="D310" s="329">
        <f t="shared" si="117"/>
        <v>713</v>
      </c>
      <c r="E310" s="329">
        <f t="shared" si="117"/>
        <v>784</v>
      </c>
      <c r="F310" s="329">
        <f t="shared" si="117"/>
        <v>109.95792426367461</v>
      </c>
      <c r="G310" s="516">
        <f t="shared" si="117"/>
        <v>1997.5835100000002</v>
      </c>
      <c r="H310" s="516">
        <f t="shared" si="117"/>
        <v>1331.72</v>
      </c>
      <c r="I310" s="516">
        <f t="shared" si="117"/>
        <v>1485.9227299999998</v>
      </c>
      <c r="J310" s="516">
        <f t="shared" si="117"/>
        <v>111.57921560087705</v>
      </c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  <c r="EH310" s="13"/>
      <c r="EI310" s="13"/>
      <c r="EJ310" s="13"/>
      <c r="EK310" s="13"/>
      <c r="EL310" s="13"/>
      <c r="EM310" s="13"/>
      <c r="EN310" s="13"/>
      <c r="EO310" s="13"/>
      <c r="EP310" s="13"/>
      <c r="EQ310" s="13"/>
      <c r="ER310" s="13"/>
      <c r="ES310" s="13"/>
      <c r="ET310" s="13"/>
      <c r="EU310" s="13"/>
      <c r="EV310" s="13"/>
      <c r="EW310" s="13"/>
      <c r="EX310" s="13"/>
      <c r="EY310" s="13"/>
      <c r="EZ310" s="13"/>
      <c r="FA310" s="13"/>
      <c r="FB310" s="13"/>
      <c r="FC310" s="13"/>
      <c r="FD310" s="13"/>
      <c r="FE310" s="13"/>
      <c r="FF310" s="13"/>
      <c r="FG310" s="13"/>
      <c r="FH310" s="13"/>
      <c r="FI310" s="13"/>
      <c r="FJ310" s="13"/>
      <c r="FK310" s="13"/>
      <c r="FL310" s="13"/>
      <c r="FM310" s="13"/>
      <c r="FN310" s="13"/>
      <c r="FO310" s="13"/>
      <c r="FP310" s="13"/>
      <c r="FQ310" s="13"/>
      <c r="FR310" s="13"/>
      <c r="FS310" s="13"/>
      <c r="FT310" s="13"/>
      <c r="FU310" s="13"/>
      <c r="FV310" s="13"/>
      <c r="FW310" s="13"/>
      <c r="FX310" s="13"/>
      <c r="FY310" s="13"/>
      <c r="FZ310" s="13"/>
      <c r="GA310" s="13"/>
      <c r="GB310" s="13"/>
      <c r="GC310" s="13"/>
      <c r="GD310" s="13"/>
      <c r="GE310" s="13"/>
      <c r="GF310" s="13"/>
      <c r="GG310" s="13"/>
      <c r="GH310" s="13"/>
      <c r="GI310" s="13"/>
      <c r="GJ310" s="13"/>
      <c r="GK310" s="13"/>
      <c r="GL310" s="13"/>
      <c r="GM310" s="13"/>
      <c r="GN310" s="13"/>
      <c r="GO310" s="13"/>
      <c r="GP310" s="13"/>
      <c r="GQ310" s="13"/>
      <c r="GR310" s="13"/>
      <c r="GS310" s="13"/>
      <c r="GT310" s="13"/>
      <c r="GU310" s="13"/>
      <c r="GV310" s="13"/>
      <c r="GW310" s="13"/>
      <c r="GX310" s="13"/>
      <c r="GY310" s="13"/>
      <c r="GZ310" s="13"/>
      <c r="HA310" s="13"/>
      <c r="HB310" s="13"/>
      <c r="HC310" s="13"/>
      <c r="HD310" s="13"/>
      <c r="HE310" s="13"/>
      <c r="HF310" s="13"/>
      <c r="HG310" s="13"/>
      <c r="HH310" s="13"/>
      <c r="HI310" s="13"/>
      <c r="HJ310" s="13"/>
      <c r="HK310" s="13"/>
      <c r="HL310" s="13"/>
      <c r="HM310" s="13"/>
      <c r="HN310" s="13"/>
      <c r="HO310" s="13"/>
      <c r="HP310" s="13"/>
      <c r="HQ310" s="13"/>
      <c r="HR310" s="13"/>
      <c r="HS310" s="13"/>
      <c r="HT310" s="13"/>
      <c r="HU310" s="13"/>
      <c r="HV310" s="13"/>
      <c r="HW310" s="13"/>
      <c r="HX310" s="13"/>
      <c r="HY310" s="13"/>
      <c r="HZ310" s="13"/>
      <c r="IA310" s="13"/>
      <c r="IB310" s="13"/>
      <c r="IC310" s="13"/>
      <c r="ID310" s="13"/>
      <c r="IE310" s="13"/>
      <c r="IF310" s="13"/>
      <c r="IG310" s="13"/>
      <c r="IH310" s="13"/>
      <c r="II310" s="13"/>
      <c r="IJ310" s="13"/>
      <c r="IK310" s="13"/>
      <c r="IL310" s="13"/>
      <c r="IM310" s="13"/>
    </row>
    <row r="311" spans="1:247" s="10" customFormat="1" ht="45" x14ac:dyDescent="0.25">
      <c r="A311" s="18">
        <v>1</v>
      </c>
      <c r="B311" s="131" t="s">
        <v>114</v>
      </c>
      <c r="C311" s="329">
        <f t="shared" si="117"/>
        <v>80</v>
      </c>
      <c r="D311" s="329">
        <f t="shared" si="117"/>
        <v>53</v>
      </c>
      <c r="E311" s="329">
        <f t="shared" si="117"/>
        <v>95</v>
      </c>
      <c r="F311" s="329">
        <f t="shared" si="117"/>
        <v>179.24528301886792</v>
      </c>
      <c r="G311" s="516">
        <f t="shared" si="117"/>
        <v>524.96640000000002</v>
      </c>
      <c r="H311" s="516">
        <f t="shared" si="117"/>
        <v>349.98</v>
      </c>
      <c r="I311" s="516">
        <f t="shared" si="117"/>
        <v>623.39760000000001</v>
      </c>
      <c r="J311" s="516">
        <f t="shared" si="117"/>
        <v>178.12377850162866</v>
      </c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  <c r="EH311" s="13"/>
      <c r="EI311" s="13"/>
      <c r="EJ311" s="13"/>
      <c r="EK311" s="13"/>
      <c r="EL311" s="13"/>
      <c r="EM311" s="13"/>
      <c r="EN311" s="13"/>
      <c r="EO311" s="13"/>
      <c r="EP311" s="13"/>
      <c r="EQ311" s="13"/>
      <c r="ER311" s="13"/>
      <c r="ES311" s="13"/>
      <c r="ET311" s="13"/>
      <c r="EU311" s="13"/>
      <c r="EV311" s="13"/>
      <c r="EW311" s="13"/>
      <c r="EX311" s="13"/>
      <c r="EY311" s="13"/>
      <c r="EZ311" s="13"/>
      <c r="FA311" s="13"/>
      <c r="FB311" s="13"/>
      <c r="FC311" s="13"/>
      <c r="FD311" s="13"/>
      <c r="FE311" s="13"/>
      <c r="FF311" s="13"/>
      <c r="FG311" s="13"/>
      <c r="FH311" s="13"/>
      <c r="FI311" s="13"/>
      <c r="FJ311" s="13"/>
      <c r="FK311" s="13"/>
      <c r="FL311" s="13"/>
      <c r="FM311" s="13"/>
      <c r="FN311" s="13"/>
      <c r="FO311" s="13"/>
      <c r="FP311" s="13"/>
      <c r="FQ311" s="13"/>
      <c r="FR311" s="13"/>
      <c r="FS311" s="13"/>
      <c r="FT311" s="13"/>
      <c r="FU311" s="13"/>
      <c r="FV311" s="13"/>
      <c r="FW311" s="13"/>
      <c r="FX311" s="13"/>
      <c r="FY311" s="13"/>
      <c r="FZ311" s="13"/>
      <c r="GA311" s="13"/>
      <c r="GB311" s="13"/>
      <c r="GC311" s="13"/>
      <c r="GD311" s="13"/>
      <c r="GE311" s="13"/>
      <c r="GF311" s="13"/>
      <c r="GG311" s="13"/>
      <c r="GH311" s="13"/>
      <c r="GI311" s="13"/>
      <c r="GJ311" s="13"/>
      <c r="GK311" s="13"/>
      <c r="GL311" s="13"/>
      <c r="GM311" s="13"/>
      <c r="GN311" s="13"/>
      <c r="GO311" s="13"/>
      <c r="GP311" s="13"/>
      <c r="GQ311" s="13"/>
      <c r="GR311" s="13"/>
      <c r="GS311" s="13"/>
      <c r="GT311" s="13"/>
      <c r="GU311" s="13"/>
      <c r="GV311" s="13"/>
      <c r="GW311" s="13"/>
      <c r="GX311" s="13"/>
      <c r="GY311" s="13"/>
      <c r="GZ311" s="13"/>
      <c r="HA311" s="13"/>
      <c r="HB311" s="13"/>
      <c r="HC311" s="13"/>
      <c r="HD311" s="13"/>
      <c r="HE311" s="13"/>
      <c r="HF311" s="13"/>
      <c r="HG311" s="13"/>
      <c r="HH311" s="13"/>
      <c r="HI311" s="13"/>
      <c r="HJ311" s="13"/>
      <c r="HK311" s="13"/>
      <c r="HL311" s="13"/>
      <c r="HM311" s="13"/>
      <c r="HN311" s="13"/>
      <c r="HO311" s="13"/>
      <c r="HP311" s="13"/>
      <c r="HQ311" s="13"/>
      <c r="HR311" s="13"/>
      <c r="HS311" s="13"/>
      <c r="HT311" s="13"/>
      <c r="HU311" s="13"/>
      <c r="HV311" s="13"/>
      <c r="HW311" s="13"/>
      <c r="HX311" s="13"/>
      <c r="HY311" s="13"/>
      <c r="HZ311" s="13"/>
      <c r="IA311" s="13"/>
      <c r="IB311" s="13"/>
      <c r="IC311" s="13"/>
      <c r="ID311" s="13"/>
      <c r="IE311" s="13"/>
      <c r="IF311" s="13"/>
      <c r="IG311" s="13"/>
      <c r="IH311" s="13"/>
      <c r="II311" s="13"/>
      <c r="IJ311" s="13"/>
      <c r="IK311" s="13"/>
      <c r="IL311" s="13"/>
      <c r="IM311" s="13"/>
    </row>
    <row r="312" spans="1:247" s="10" customFormat="1" ht="30" x14ac:dyDescent="0.25">
      <c r="A312" s="18">
        <v>1</v>
      </c>
      <c r="B312" s="131" t="s">
        <v>115</v>
      </c>
      <c r="C312" s="329">
        <f t="shared" si="117"/>
        <v>150</v>
      </c>
      <c r="D312" s="329">
        <f t="shared" si="117"/>
        <v>100</v>
      </c>
      <c r="E312" s="329">
        <f t="shared" si="117"/>
        <v>152</v>
      </c>
      <c r="F312" s="329">
        <f t="shared" si="117"/>
        <v>152</v>
      </c>
      <c r="G312" s="516">
        <f t="shared" si="117"/>
        <v>984.31200000000001</v>
      </c>
      <c r="H312" s="516">
        <f t="shared" si="117"/>
        <v>656.21</v>
      </c>
      <c r="I312" s="516">
        <f t="shared" si="117"/>
        <v>984.31166000000007</v>
      </c>
      <c r="J312" s="516">
        <f t="shared" si="117"/>
        <v>149.9994910165953</v>
      </c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  <c r="EH312" s="13"/>
      <c r="EI312" s="13"/>
      <c r="EJ312" s="13"/>
      <c r="EK312" s="13"/>
      <c r="EL312" s="13"/>
      <c r="EM312" s="13"/>
      <c r="EN312" s="13"/>
      <c r="EO312" s="13"/>
      <c r="EP312" s="13"/>
      <c r="EQ312" s="13"/>
      <c r="ER312" s="13"/>
      <c r="ES312" s="13"/>
      <c r="ET312" s="13"/>
      <c r="EU312" s="13"/>
      <c r="EV312" s="13"/>
      <c r="EW312" s="13"/>
      <c r="EX312" s="13"/>
      <c r="EY312" s="13"/>
      <c r="EZ312" s="13"/>
      <c r="FA312" s="13"/>
      <c r="FB312" s="13"/>
      <c r="FC312" s="13"/>
      <c r="FD312" s="13"/>
      <c r="FE312" s="13"/>
      <c r="FF312" s="13"/>
      <c r="FG312" s="13"/>
      <c r="FH312" s="13"/>
      <c r="FI312" s="13"/>
      <c r="FJ312" s="13"/>
      <c r="FK312" s="13"/>
      <c r="FL312" s="13"/>
      <c r="FM312" s="13"/>
      <c r="FN312" s="13"/>
      <c r="FO312" s="13"/>
      <c r="FP312" s="13"/>
      <c r="FQ312" s="13"/>
      <c r="FR312" s="13"/>
      <c r="FS312" s="13"/>
      <c r="FT312" s="13"/>
      <c r="FU312" s="13"/>
      <c r="FV312" s="13"/>
      <c r="FW312" s="13"/>
      <c r="FX312" s="13"/>
      <c r="FY312" s="13"/>
      <c r="FZ312" s="13"/>
      <c r="GA312" s="13"/>
      <c r="GB312" s="13"/>
      <c r="GC312" s="13"/>
      <c r="GD312" s="13"/>
      <c r="GE312" s="13"/>
      <c r="GF312" s="13"/>
      <c r="GG312" s="13"/>
      <c r="GH312" s="13"/>
      <c r="GI312" s="13"/>
      <c r="GJ312" s="13"/>
      <c r="GK312" s="13"/>
      <c r="GL312" s="13"/>
      <c r="GM312" s="13"/>
      <c r="GN312" s="13"/>
      <c r="GO312" s="13"/>
      <c r="GP312" s="13"/>
      <c r="GQ312" s="13"/>
      <c r="GR312" s="13"/>
      <c r="GS312" s="13"/>
      <c r="GT312" s="13"/>
      <c r="GU312" s="13"/>
      <c r="GV312" s="13"/>
      <c r="GW312" s="13"/>
      <c r="GX312" s="13"/>
      <c r="GY312" s="13"/>
      <c r="GZ312" s="13"/>
      <c r="HA312" s="13"/>
      <c r="HB312" s="13"/>
      <c r="HC312" s="13"/>
      <c r="HD312" s="13"/>
      <c r="HE312" s="13"/>
      <c r="HF312" s="13"/>
      <c r="HG312" s="13"/>
      <c r="HH312" s="13"/>
      <c r="HI312" s="13"/>
      <c r="HJ312" s="13"/>
      <c r="HK312" s="13"/>
      <c r="HL312" s="13"/>
      <c r="HM312" s="13"/>
      <c r="HN312" s="13"/>
      <c r="HO312" s="13"/>
      <c r="HP312" s="13"/>
      <c r="HQ312" s="13"/>
      <c r="HR312" s="13"/>
      <c r="HS312" s="13"/>
      <c r="HT312" s="13"/>
      <c r="HU312" s="13"/>
      <c r="HV312" s="13"/>
      <c r="HW312" s="13"/>
      <c r="HX312" s="13"/>
      <c r="HY312" s="13"/>
      <c r="HZ312" s="13"/>
      <c r="IA312" s="13"/>
      <c r="IB312" s="13"/>
      <c r="IC312" s="13"/>
      <c r="ID312" s="13"/>
      <c r="IE312" s="13"/>
      <c r="IF312" s="13"/>
      <c r="IG312" s="13"/>
      <c r="IH312" s="13"/>
      <c r="II312" s="13"/>
      <c r="IJ312" s="13"/>
      <c r="IK312" s="13"/>
      <c r="IL312" s="13"/>
      <c r="IM312" s="13"/>
    </row>
    <row r="313" spans="1:247" s="10" customFormat="1" ht="30" x14ac:dyDescent="0.25">
      <c r="A313" s="18">
        <v>1</v>
      </c>
      <c r="B313" s="257" t="s">
        <v>112</v>
      </c>
      <c r="C313" s="329">
        <f t="shared" si="117"/>
        <v>11260</v>
      </c>
      <c r="D313" s="329">
        <f t="shared" si="117"/>
        <v>7507</v>
      </c>
      <c r="E313" s="329">
        <f t="shared" si="117"/>
        <v>4823</v>
      </c>
      <c r="F313" s="329">
        <f t="shared" si="117"/>
        <v>64.246703077128004</v>
      </c>
      <c r="G313" s="516">
        <f t="shared" si="117"/>
        <v>21966.778599999998</v>
      </c>
      <c r="H313" s="516">
        <f t="shared" si="117"/>
        <v>14644.52</v>
      </c>
      <c r="I313" s="516">
        <f t="shared" si="117"/>
        <v>12135.271679999998</v>
      </c>
      <c r="J313" s="516">
        <f t="shared" si="117"/>
        <v>82.865615807141495</v>
      </c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13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  <c r="EH313" s="13"/>
      <c r="EI313" s="13"/>
      <c r="EJ313" s="13"/>
      <c r="EK313" s="13"/>
      <c r="EL313" s="13"/>
      <c r="EM313" s="13"/>
      <c r="EN313" s="13"/>
      <c r="EO313" s="13"/>
      <c r="EP313" s="13"/>
      <c r="EQ313" s="13"/>
      <c r="ER313" s="13"/>
      <c r="ES313" s="13"/>
      <c r="ET313" s="13"/>
      <c r="EU313" s="13"/>
      <c r="EV313" s="13"/>
      <c r="EW313" s="13"/>
      <c r="EX313" s="13"/>
      <c r="EY313" s="13"/>
      <c r="EZ313" s="13"/>
      <c r="FA313" s="13"/>
      <c r="FB313" s="13"/>
      <c r="FC313" s="13"/>
      <c r="FD313" s="13"/>
      <c r="FE313" s="13"/>
      <c r="FF313" s="13"/>
      <c r="FG313" s="13"/>
      <c r="FH313" s="13"/>
      <c r="FI313" s="13"/>
      <c r="FJ313" s="13"/>
      <c r="FK313" s="13"/>
      <c r="FL313" s="13"/>
      <c r="FM313" s="13"/>
      <c r="FN313" s="13"/>
      <c r="FO313" s="13"/>
      <c r="FP313" s="13"/>
      <c r="FQ313" s="13"/>
      <c r="FR313" s="13"/>
      <c r="FS313" s="13"/>
      <c r="FT313" s="13"/>
      <c r="FU313" s="13"/>
      <c r="FV313" s="13"/>
      <c r="FW313" s="13"/>
      <c r="FX313" s="13"/>
      <c r="FY313" s="13"/>
      <c r="FZ313" s="13"/>
      <c r="GA313" s="13"/>
      <c r="GB313" s="13"/>
      <c r="GC313" s="13"/>
      <c r="GD313" s="13"/>
      <c r="GE313" s="13"/>
      <c r="GF313" s="13"/>
      <c r="GG313" s="13"/>
      <c r="GH313" s="13"/>
      <c r="GI313" s="13"/>
      <c r="GJ313" s="13"/>
      <c r="GK313" s="13"/>
      <c r="GL313" s="13"/>
      <c r="GM313" s="13"/>
      <c r="GN313" s="13"/>
      <c r="GO313" s="13"/>
      <c r="GP313" s="13"/>
      <c r="GQ313" s="13"/>
      <c r="GR313" s="13"/>
      <c r="GS313" s="13"/>
      <c r="GT313" s="13"/>
      <c r="GU313" s="13"/>
      <c r="GV313" s="13"/>
      <c r="GW313" s="13"/>
      <c r="GX313" s="13"/>
      <c r="GY313" s="13"/>
      <c r="GZ313" s="13"/>
      <c r="HA313" s="13"/>
      <c r="HB313" s="13"/>
      <c r="HC313" s="13"/>
      <c r="HD313" s="13"/>
      <c r="HE313" s="13"/>
      <c r="HF313" s="13"/>
      <c r="HG313" s="13"/>
      <c r="HH313" s="13"/>
      <c r="HI313" s="13"/>
      <c r="HJ313" s="13"/>
      <c r="HK313" s="13"/>
      <c r="HL313" s="13"/>
      <c r="HM313" s="13"/>
      <c r="HN313" s="13"/>
      <c r="HO313" s="13"/>
      <c r="HP313" s="13"/>
      <c r="HQ313" s="13"/>
      <c r="HR313" s="13"/>
      <c r="HS313" s="13"/>
      <c r="HT313" s="13"/>
      <c r="HU313" s="13"/>
      <c r="HV313" s="13"/>
      <c r="HW313" s="13"/>
      <c r="HX313" s="13"/>
      <c r="HY313" s="13"/>
      <c r="HZ313" s="13"/>
      <c r="IA313" s="13"/>
      <c r="IB313" s="13"/>
      <c r="IC313" s="13"/>
      <c r="ID313" s="13"/>
      <c r="IE313" s="13"/>
      <c r="IF313" s="13"/>
      <c r="IG313" s="13"/>
      <c r="IH313" s="13"/>
      <c r="II313" s="13"/>
      <c r="IJ313" s="13"/>
      <c r="IK313" s="13"/>
      <c r="IL313" s="13"/>
      <c r="IM313" s="13"/>
    </row>
    <row r="314" spans="1:247" s="10" customFormat="1" ht="30" x14ac:dyDescent="0.25">
      <c r="A314" s="18">
        <v>1</v>
      </c>
      <c r="B314" s="131" t="s">
        <v>108</v>
      </c>
      <c r="C314" s="329">
        <f t="shared" si="117"/>
        <v>1500</v>
      </c>
      <c r="D314" s="329">
        <f t="shared" si="117"/>
        <v>1000</v>
      </c>
      <c r="E314" s="329">
        <f t="shared" si="117"/>
        <v>676</v>
      </c>
      <c r="F314" s="329">
        <f t="shared" si="117"/>
        <v>67.600000000000009</v>
      </c>
      <c r="G314" s="516">
        <f t="shared" si="117"/>
        <v>3180.7649999999999</v>
      </c>
      <c r="H314" s="516">
        <f t="shared" si="117"/>
        <v>2120.5100000000002</v>
      </c>
      <c r="I314" s="516">
        <f t="shared" si="117"/>
        <v>1407.4107799999999</v>
      </c>
      <c r="J314" s="516">
        <f t="shared" si="117"/>
        <v>66.371334254495366</v>
      </c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13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  <c r="EH314" s="13"/>
      <c r="EI314" s="13"/>
      <c r="EJ314" s="13"/>
      <c r="EK314" s="13"/>
      <c r="EL314" s="13"/>
      <c r="EM314" s="13"/>
      <c r="EN314" s="13"/>
      <c r="EO314" s="13"/>
      <c r="EP314" s="13"/>
      <c r="EQ314" s="13"/>
      <c r="ER314" s="13"/>
      <c r="ES314" s="13"/>
      <c r="ET314" s="13"/>
      <c r="EU314" s="13"/>
      <c r="EV314" s="13"/>
      <c r="EW314" s="13"/>
      <c r="EX314" s="13"/>
      <c r="EY314" s="13"/>
      <c r="EZ314" s="13"/>
      <c r="FA314" s="13"/>
      <c r="FB314" s="13"/>
      <c r="FC314" s="13"/>
      <c r="FD314" s="13"/>
      <c r="FE314" s="13"/>
      <c r="FF314" s="13"/>
      <c r="FG314" s="13"/>
      <c r="FH314" s="13"/>
      <c r="FI314" s="13"/>
      <c r="FJ314" s="13"/>
      <c r="FK314" s="13"/>
      <c r="FL314" s="13"/>
      <c r="FM314" s="13"/>
      <c r="FN314" s="13"/>
      <c r="FO314" s="13"/>
      <c r="FP314" s="13"/>
      <c r="FQ314" s="13"/>
      <c r="FR314" s="13"/>
      <c r="FS314" s="13"/>
      <c r="FT314" s="13"/>
      <c r="FU314" s="13"/>
      <c r="FV314" s="13"/>
      <c r="FW314" s="13"/>
      <c r="FX314" s="13"/>
      <c r="FY314" s="13"/>
      <c r="FZ314" s="13"/>
      <c r="GA314" s="13"/>
      <c r="GB314" s="13"/>
      <c r="GC314" s="13"/>
      <c r="GD314" s="13"/>
      <c r="GE314" s="13"/>
      <c r="GF314" s="13"/>
      <c r="GG314" s="13"/>
      <c r="GH314" s="13"/>
      <c r="GI314" s="13"/>
      <c r="GJ314" s="13"/>
      <c r="GK314" s="13"/>
      <c r="GL314" s="13"/>
      <c r="GM314" s="13"/>
      <c r="GN314" s="13"/>
      <c r="GO314" s="13"/>
      <c r="GP314" s="13"/>
      <c r="GQ314" s="13"/>
      <c r="GR314" s="13"/>
      <c r="GS314" s="13"/>
      <c r="GT314" s="13"/>
      <c r="GU314" s="13"/>
      <c r="GV314" s="13"/>
      <c r="GW314" s="13"/>
      <c r="GX314" s="13"/>
      <c r="GY314" s="13"/>
      <c r="GZ314" s="13"/>
      <c r="HA314" s="13"/>
      <c r="HB314" s="13"/>
      <c r="HC314" s="13"/>
      <c r="HD314" s="13"/>
      <c r="HE314" s="13"/>
      <c r="HF314" s="13"/>
      <c r="HG314" s="13"/>
      <c r="HH314" s="13"/>
      <c r="HI314" s="13"/>
      <c r="HJ314" s="13"/>
      <c r="HK314" s="13"/>
      <c r="HL314" s="13"/>
      <c r="HM314" s="13"/>
      <c r="HN314" s="13"/>
      <c r="HO314" s="13"/>
      <c r="HP314" s="13"/>
      <c r="HQ314" s="13"/>
      <c r="HR314" s="13"/>
      <c r="HS314" s="13"/>
      <c r="HT314" s="13"/>
      <c r="HU314" s="13"/>
      <c r="HV314" s="13"/>
      <c r="HW314" s="13"/>
      <c r="HX314" s="13"/>
      <c r="HY314" s="13"/>
      <c r="HZ314" s="13"/>
      <c r="IA314" s="13"/>
      <c r="IB314" s="13"/>
      <c r="IC314" s="13"/>
      <c r="ID314" s="13"/>
      <c r="IE314" s="13"/>
      <c r="IF314" s="13"/>
      <c r="IG314" s="13"/>
      <c r="IH314" s="13"/>
      <c r="II314" s="13"/>
      <c r="IJ314" s="13"/>
      <c r="IK314" s="13"/>
      <c r="IL314" s="13"/>
      <c r="IM314" s="13"/>
    </row>
    <row r="315" spans="1:247" s="10" customFormat="1" ht="62.25" customHeight="1" x14ac:dyDescent="0.25">
      <c r="A315" s="18">
        <v>1</v>
      </c>
      <c r="B315" s="131" t="s">
        <v>81</v>
      </c>
      <c r="C315" s="329">
        <f t="shared" si="117"/>
        <v>5200</v>
      </c>
      <c r="D315" s="329">
        <f t="shared" si="117"/>
        <v>3467</v>
      </c>
      <c r="E315" s="329">
        <f t="shared" si="117"/>
        <v>2989</v>
      </c>
      <c r="F315" s="329">
        <f t="shared" si="117"/>
        <v>86.212864147678104</v>
      </c>
      <c r="G315" s="516">
        <f t="shared" si="117"/>
        <v>14316.484</v>
      </c>
      <c r="H315" s="516">
        <f t="shared" si="117"/>
        <v>9544.32</v>
      </c>
      <c r="I315" s="516">
        <f t="shared" si="117"/>
        <v>9442.647799999997</v>
      </c>
      <c r="J315" s="516">
        <f t="shared" si="117"/>
        <v>98.934736052437444</v>
      </c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13"/>
      <c r="DX315" s="13"/>
      <c r="DY315" s="13"/>
      <c r="DZ315" s="13"/>
      <c r="EA315" s="13"/>
      <c r="EB315" s="13"/>
      <c r="EC315" s="13"/>
      <c r="ED315" s="13"/>
      <c r="EE315" s="13"/>
      <c r="EF315" s="13"/>
      <c r="EG315" s="13"/>
      <c r="EH315" s="13"/>
      <c r="EI315" s="13"/>
      <c r="EJ315" s="13"/>
      <c r="EK315" s="13"/>
      <c r="EL315" s="13"/>
      <c r="EM315" s="13"/>
      <c r="EN315" s="13"/>
      <c r="EO315" s="13"/>
      <c r="EP315" s="13"/>
      <c r="EQ315" s="13"/>
      <c r="ER315" s="13"/>
      <c r="ES315" s="13"/>
      <c r="ET315" s="13"/>
      <c r="EU315" s="13"/>
      <c r="EV315" s="13"/>
      <c r="EW315" s="13"/>
      <c r="EX315" s="13"/>
      <c r="EY315" s="13"/>
      <c r="EZ315" s="13"/>
      <c r="FA315" s="13"/>
      <c r="FB315" s="13"/>
      <c r="FC315" s="13"/>
      <c r="FD315" s="13"/>
      <c r="FE315" s="13"/>
      <c r="FF315" s="13"/>
      <c r="FG315" s="13"/>
      <c r="FH315" s="13"/>
      <c r="FI315" s="13"/>
      <c r="FJ315" s="13"/>
      <c r="FK315" s="13"/>
      <c r="FL315" s="13"/>
      <c r="FM315" s="13"/>
      <c r="FN315" s="13"/>
      <c r="FO315" s="13"/>
      <c r="FP315" s="13"/>
      <c r="FQ315" s="13"/>
      <c r="FR315" s="13"/>
      <c r="FS315" s="13"/>
      <c r="FT315" s="13"/>
      <c r="FU315" s="13"/>
      <c r="FV315" s="13"/>
      <c r="FW315" s="13"/>
      <c r="FX315" s="13"/>
      <c r="FY315" s="13"/>
      <c r="FZ315" s="13"/>
      <c r="GA315" s="13"/>
      <c r="GB315" s="13"/>
      <c r="GC315" s="13"/>
      <c r="GD315" s="13"/>
      <c r="GE315" s="13"/>
      <c r="GF315" s="13"/>
      <c r="GG315" s="13"/>
      <c r="GH315" s="13"/>
      <c r="GI315" s="13"/>
      <c r="GJ315" s="13"/>
      <c r="GK315" s="13"/>
      <c r="GL315" s="13"/>
      <c r="GM315" s="13"/>
      <c r="GN315" s="13"/>
      <c r="GO315" s="13"/>
      <c r="GP315" s="13"/>
      <c r="GQ315" s="13"/>
      <c r="GR315" s="13"/>
      <c r="GS315" s="13"/>
      <c r="GT315" s="13"/>
      <c r="GU315" s="13"/>
      <c r="GV315" s="13"/>
      <c r="GW315" s="13"/>
      <c r="GX315" s="13"/>
      <c r="GY315" s="13"/>
      <c r="GZ315" s="13"/>
      <c r="HA315" s="13"/>
      <c r="HB315" s="13"/>
      <c r="HC315" s="13"/>
      <c r="HD315" s="13"/>
      <c r="HE315" s="13"/>
      <c r="HF315" s="13"/>
      <c r="HG315" s="13"/>
      <c r="HH315" s="13"/>
      <c r="HI315" s="13"/>
      <c r="HJ315" s="13"/>
      <c r="HK315" s="13"/>
      <c r="HL315" s="13"/>
      <c r="HM315" s="13"/>
      <c r="HN315" s="13"/>
      <c r="HO315" s="13"/>
      <c r="HP315" s="13"/>
      <c r="HQ315" s="13"/>
      <c r="HR315" s="13"/>
      <c r="HS315" s="13"/>
      <c r="HT315" s="13"/>
      <c r="HU315" s="13"/>
      <c r="HV315" s="13"/>
      <c r="HW315" s="13"/>
      <c r="HX315" s="13"/>
      <c r="HY315" s="13"/>
      <c r="HZ315" s="13"/>
      <c r="IA315" s="13"/>
      <c r="IB315" s="13"/>
      <c r="IC315" s="13"/>
      <c r="ID315" s="13"/>
      <c r="IE315" s="13"/>
      <c r="IF315" s="13"/>
      <c r="IG315" s="13"/>
      <c r="IH315" s="13"/>
      <c r="II315" s="13"/>
      <c r="IJ315" s="13"/>
      <c r="IK315" s="13"/>
      <c r="IL315" s="13"/>
      <c r="IM315" s="13"/>
    </row>
    <row r="316" spans="1:247" s="10" customFormat="1" ht="45" x14ac:dyDescent="0.25">
      <c r="A316" s="18">
        <v>1</v>
      </c>
      <c r="B316" s="131" t="s">
        <v>109</v>
      </c>
      <c r="C316" s="329">
        <f t="shared" si="117"/>
        <v>4560</v>
      </c>
      <c r="D316" s="329">
        <f t="shared" si="117"/>
        <v>3040</v>
      </c>
      <c r="E316" s="329">
        <f t="shared" si="117"/>
        <v>1158</v>
      </c>
      <c r="F316" s="329">
        <f t="shared" si="117"/>
        <v>38.09210526315789</v>
      </c>
      <c r="G316" s="516">
        <f t="shared" si="117"/>
        <v>4469.5295999999998</v>
      </c>
      <c r="H316" s="516">
        <f t="shared" si="117"/>
        <v>2979.69</v>
      </c>
      <c r="I316" s="516">
        <f t="shared" si="117"/>
        <v>1285.2131000000004</v>
      </c>
      <c r="J316" s="516">
        <f t="shared" si="117"/>
        <v>43.132443307860896</v>
      </c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13"/>
      <c r="DX316" s="13"/>
      <c r="DY316" s="13"/>
      <c r="DZ316" s="13"/>
      <c r="EA316" s="13"/>
      <c r="EB316" s="13"/>
      <c r="EC316" s="13"/>
      <c r="ED316" s="13"/>
      <c r="EE316" s="13"/>
      <c r="EF316" s="13"/>
      <c r="EG316" s="13"/>
      <c r="EH316" s="13"/>
      <c r="EI316" s="13"/>
      <c r="EJ316" s="13"/>
      <c r="EK316" s="13"/>
      <c r="EL316" s="13"/>
      <c r="EM316" s="13"/>
      <c r="EN316" s="13"/>
      <c r="EO316" s="13"/>
      <c r="EP316" s="13"/>
      <c r="EQ316" s="13"/>
      <c r="ER316" s="13"/>
      <c r="ES316" s="13"/>
      <c r="ET316" s="13"/>
      <c r="EU316" s="13"/>
      <c r="EV316" s="13"/>
      <c r="EW316" s="13"/>
      <c r="EX316" s="13"/>
      <c r="EY316" s="13"/>
      <c r="EZ316" s="13"/>
      <c r="FA316" s="13"/>
      <c r="FB316" s="13"/>
      <c r="FC316" s="13"/>
      <c r="FD316" s="13"/>
      <c r="FE316" s="13"/>
      <c r="FF316" s="13"/>
      <c r="FG316" s="13"/>
      <c r="FH316" s="13"/>
      <c r="FI316" s="13"/>
      <c r="FJ316" s="13"/>
      <c r="FK316" s="13"/>
      <c r="FL316" s="13"/>
      <c r="FM316" s="13"/>
      <c r="FN316" s="13"/>
      <c r="FO316" s="13"/>
      <c r="FP316" s="13"/>
      <c r="FQ316" s="13"/>
      <c r="FR316" s="13"/>
      <c r="FS316" s="13"/>
      <c r="FT316" s="13"/>
      <c r="FU316" s="13"/>
      <c r="FV316" s="13"/>
      <c r="FW316" s="13"/>
      <c r="FX316" s="13"/>
      <c r="FY316" s="13"/>
      <c r="FZ316" s="13"/>
      <c r="GA316" s="13"/>
      <c r="GB316" s="13"/>
      <c r="GC316" s="13"/>
      <c r="GD316" s="13"/>
      <c r="GE316" s="13"/>
      <c r="GF316" s="13"/>
      <c r="GG316" s="13"/>
      <c r="GH316" s="13"/>
      <c r="GI316" s="13"/>
      <c r="GJ316" s="13"/>
      <c r="GK316" s="13"/>
      <c r="GL316" s="13"/>
      <c r="GM316" s="13"/>
      <c r="GN316" s="13"/>
      <c r="GO316" s="13"/>
      <c r="GP316" s="13"/>
      <c r="GQ316" s="13"/>
      <c r="GR316" s="13"/>
      <c r="GS316" s="13"/>
      <c r="GT316" s="13"/>
      <c r="GU316" s="13"/>
      <c r="GV316" s="13"/>
      <c r="GW316" s="13"/>
      <c r="GX316" s="13"/>
      <c r="GY316" s="13"/>
      <c r="GZ316" s="13"/>
      <c r="HA316" s="13"/>
      <c r="HB316" s="13"/>
      <c r="HC316" s="13"/>
      <c r="HD316" s="13"/>
      <c r="HE316" s="13"/>
      <c r="HF316" s="13"/>
      <c r="HG316" s="13"/>
      <c r="HH316" s="13"/>
      <c r="HI316" s="13"/>
      <c r="HJ316" s="13"/>
      <c r="HK316" s="13"/>
      <c r="HL316" s="13"/>
      <c r="HM316" s="13"/>
      <c r="HN316" s="13"/>
      <c r="HO316" s="13"/>
      <c r="HP316" s="13"/>
      <c r="HQ316" s="13"/>
      <c r="HR316" s="13"/>
      <c r="HS316" s="13"/>
      <c r="HT316" s="13"/>
      <c r="HU316" s="13"/>
      <c r="HV316" s="13"/>
      <c r="HW316" s="13"/>
      <c r="HX316" s="13"/>
      <c r="HY316" s="13"/>
      <c r="HZ316" s="13"/>
      <c r="IA316" s="13"/>
      <c r="IB316" s="13"/>
      <c r="IC316" s="13"/>
      <c r="ID316" s="13"/>
      <c r="IE316" s="13"/>
      <c r="IF316" s="13"/>
      <c r="IG316" s="13"/>
      <c r="IH316" s="13"/>
      <c r="II316" s="13"/>
      <c r="IJ316" s="13"/>
      <c r="IK316" s="13"/>
      <c r="IL316" s="13"/>
      <c r="IM316" s="13"/>
    </row>
    <row r="317" spans="1:247" s="10" customFormat="1" ht="38.1" customHeight="1" x14ac:dyDescent="0.25">
      <c r="A317" s="18"/>
      <c r="B317" s="131" t="s">
        <v>123</v>
      </c>
      <c r="C317" s="329">
        <f t="shared" si="117"/>
        <v>15083</v>
      </c>
      <c r="D317" s="329">
        <f t="shared" si="117"/>
        <v>10055</v>
      </c>
      <c r="E317" s="329">
        <f t="shared" si="117"/>
        <v>4342</v>
      </c>
      <c r="F317" s="329">
        <f t="shared" si="117"/>
        <v>43.182496270512182</v>
      </c>
      <c r="G317" s="516">
        <f t="shared" si="117"/>
        <v>16224.550620000002</v>
      </c>
      <c r="H317" s="516">
        <f t="shared" si="117"/>
        <v>10816.37</v>
      </c>
      <c r="I317" s="516">
        <f t="shared" si="117"/>
        <v>4197.03658</v>
      </c>
      <c r="J317" s="516">
        <f t="shared" si="117"/>
        <v>38.802635079975992</v>
      </c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13"/>
      <c r="DX317" s="13"/>
      <c r="DY317" s="13"/>
      <c r="DZ317" s="13"/>
      <c r="EA317" s="13"/>
      <c r="EB317" s="13"/>
      <c r="EC317" s="13"/>
      <c r="ED317" s="13"/>
      <c r="EE317" s="13"/>
      <c r="EF317" s="13"/>
      <c r="EG317" s="13"/>
      <c r="EH317" s="13"/>
      <c r="EI317" s="13"/>
      <c r="EJ317" s="13"/>
      <c r="EK317" s="13"/>
      <c r="EL317" s="13"/>
      <c r="EM317" s="13"/>
      <c r="EN317" s="13"/>
      <c r="EO317" s="13"/>
      <c r="EP317" s="13"/>
      <c r="EQ317" s="13"/>
      <c r="ER317" s="13"/>
      <c r="ES317" s="13"/>
      <c r="ET317" s="13"/>
      <c r="EU317" s="13"/>
      <c r="EV317" s="13"/>
      <c r="EW317" s="13"/>
      <c r="EX317" s="13"/>
      <c r="EY317" s="13"/>
      <c r="EZ317" s="13"/>
      <c r="FA317" s="13"/>
      <c r="FB317" s="13"/>
      <c r="FC317" s="13"/>
      <c r="FD317" s="13"/>
      <c r="FE317" s="13"/>
      <c r="FF317" s="13"/>
      <c r="FG317" s="13"/>
      <c r="FH317" s="13"/>
      <c r="FI317" s="13"/>
      <c r="FJ317" s="13"/>
      <c r="FK317" s="13"/>
      <c r="FL317" s="13"/>
      <c r="FM317" s="13"/>
      <c r="FN317" s="13"/>
      <c r="FO317" s="13"/>
      <c r="FP317" s="13"/>
      <c r="FQ317" s="13"/>
      <c r="FR317" s="13"/>
      <c r="FS317" s="13"/>
      <c r="FT317" s="13"/>
      <c r="FU317" s="13"/>
      <c r="FV317" s="13"/>
      <c r="FW317" s="13"/>
      <c r="FX317" s="13"/>
      <c r="FY317" s="13"/>
      <c r="FZ317" s="13"/>
      <c r="GA317" s="13"/>
      <c r="GB317" s="13"/>
      <c r="GC317" s="13"/>
      <c r="GD317" s="13"/>
      <c r="GE317" s="13"/>
      <c r="GF317" s="13"/>
      <c r="GG317" s="13"/>
      <c r="GH317" s="13"/>
      <c r="GI317" s="13"/>
      <c r="GJ317" s="13"/>
      <c r="GK317" s="13"/>
      <c r="GL317" s="13"/>
      <c r="GM317" s="13"/>
      <c r="GN317" s="13"/>
      <c r="GO317" s="13"/>
      <c r="GP317" s="13"/>
      <c r="GQ317" s="13"/>
      <c r="GR317" s="13"/>
      <c r="GS317" s="13"/>
      <c r="GT317" s="13"/>
      <c r="GU317" s="13"/>
      <c r="GV317" s="13"/>
      <c r="GW317" s="13"/>
      <c r="GX317" s="13"/>
      <c r="GY317" s="13"/>
      <c r="GZ317" s="13"/>
      <c r="HA317" s="13"/>
      <c r="HB317" s="13"/>
      <c r="HC317" s="13"/>
      <c r="HD317" s="13"/>
      <c r="HE317" s="13"/>
      <c r="HF317" s="13"/>
      <c r="HG317" s="13"/>
      <c r="HH317" s="13"/>
      <c r="HI317" s="13"/>
      <c r="HJ317" s="13"/>
      <c r="HK317" s="13"/>
      <c r="HL317" s="13"/>
      <c r="HM317" s="13"/>
      <c r="HN317" s="13"/>
      <c r="HO317" s="13"/>
      <c r="HP317" s="13"/>
      <c r="HQ317" s="13"/>
      <c r="HR317" s="13"/>
      <c r="HS317" s="13"/>
      <c r="HT317" s="13"/>
      <c r="HU317" s="13"/>
      <c r="HV317" s="13"/>
      <c r="HW317" s="13"/>
      <c r="HX317" s="13"/>
      <c r="HY317" s="13"/>
      <c r="HZ317" s="13"/>
      <c r="IA317" s="13"/>
      <c r="IB317" s="13"/>
      <c r="IC317" s="13"/>
      <c r="ID317" s="13"/>
      <c r="IE317" s="13"/>
      <c r="IF317" s="13"/>
      <c r="IG317" s="13"/>
      <c r="IH317" s="13"/>
      <c r="II317" s="13"/>
      <c r="IJ317" s="13"/>
      <c r="IK317" s="13"/>
      <c r="IL317" s="13"/>
      <c r="IM317" s="13"/>
    </row>
    <row r="318" spans="1:247" s="10" customFormat="1" x14ac:dyDescent="0.25">
      <c r="A318" s="18"/>
      <c r="B318" s="131" t="s">
        <v>125</v>
      </c>
      <c r="C318" s="329">
        <f t="shared" si="117"/>
        <v>1500</v>
      </c>
      <c r="D318" s="329">
        <f t="shared" si="117"/>
        <v>1000</v>
      </c>
      <c r="E318" s="329">
        <f t="shared" si="117"/>
        <v>1235</v>
      </c>
      <c r="F318" s="329">
        <f t="shared" si="117"/>
        <v>123.50000000000001</v>
      </c>
      <c r="G318" s="516">
        <f t="shared" si="117"/>
        <v>1459.8300000000002</v>
      </c>
      <c r="H318" s="516">
        <f t="shared" si="117"/>
        <v>973.22</v>
      </c>
      <c r="I318" s="516">
        <f t="shared" si="117"/>
        <v>1196.34628</v>
      </c>
      <c r="J318" s="516">
        <f t="shared" si="117"/>
        <v>122.92660241260968</v>
      </c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13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  <c r="EH318" s="13"/>
      <c r="EI318" s="13"/>
      <c r="EJ318" s="13"/>
      <c r="EK318" s="13"/>
      <c r="EL318" s="13"/>
      <c r="EM318" s="13"/>
      <c r="EN318" s="13"/>
      <c r="EO318" s="13"/>
      <c r="EP318" s="13"/>
      <c r="EQ318" s="13"/>
      <c r="ER318" s="13"/>
      <c r="ES318" s="13"/>
      <c r="ET318" s="13"/>
      <c r="EU318" s="13"/>
      <c r="EV318" s="13"/>
      <c r="EW318" s="13"/>
      <c r="EX318" s="13"/>
      <c r="EY318" s="13"/>
      <c r="EZ318" s="13"/>
      <c r="FA318" s="13"/>
      <c r="FB318" s="13"/>
      <c r="FC318" s="13"/>
      <c r="FD318" s="13"/>
      <c r="FE318" s="13"/>
      <c r="FF318" s="13"/>
      <c r="FG318" s="13"/>
      <c r="FH318" s="13"/>
      <c r="FI318" s="13"/>
      <c r="FJ318" s="13"/>
      <c r="FK318" s="13"/>
      <c r="FL318" s="13"/>
      <c r="FM318" s="13"/>
      <c r="FN318" s="13"/>
      <c r="FO318" s="13"/>
      <c r="FP318" s="13"/>
      <c r="FQ318" s="13"/>
      <c r="FR318" s="13"/>
      <c r="FS318" s="13"/>
      <c r="FT318" s="13"/>
      <c r="FU318" s="13"/>
      <c r="FV318" s="13"/>
      <c r="FW318" s="13"/>
      <c r="FX318" s="13"/>
      <c r="FY318" s="13"/>
      <c r="FZ318" s="13"/>
      <c r="GA318" s="13"/>
      <c r="GB318" s="13"/>
      <c r="GC318" s="13"/>
      <c r="GD318" s="13"/>
      <c r="GE318" s="13"/>
      <c r="GF318" s="13"/>
      <c r="GG318" s="13"/>
      <c r="GH318" s="13"/>
      <c r="GI318" s="13"/>
      <c r="GJ318" s="13"/>
      <c r="GK318" s="13"/>
      <c r="GL318" s="13"/>
      <c r="GM318" s="13"/>
      <c r="GN318" s="13"/>
      <c r="GO318" s="13"/>
      <c r="GP318" s="13"/>
      <c r="GQ318" s="13"/>
      <c r="GR318" s="13"/>
      <c r="GS318" s="13"/>
      <c r="GT318" s="13"/>
      <c r="GU318" s="13"/>
      <c r="GV318" s="13"/>
      <c r="GW318" s="13"/>
      <c r="GX318" s="13"/>
      <c r="GY318" s="13"/>
      <c r="GZ318" s="13"/>
      <c r="HA318" s="13"/>
      <c r="HB318" s="13"/>
      <c r="HC318" s="13"/>
      <c r="HD318" s="13"/>
      <c r="HE318" s="13"/>
      <c r="HF318" s="13"/>
      <c r="HG318" s="13"/>
      <c r="HH318" s="13"/>
      <c r="HI318" s="13"/>
      <c r="HJ318" s="13"/>
      <c r="HK318" s="13"/>
      <c r="HL318" s="13"/>
      <c r="HM318" s="13"/>
      <c r="HN318" s="13"/>
      <c r="HO318" s="13"/>
      <c r="HP318" s="13"/>
      <c r="HQ318" s="13"/>
      <c r="HR318" s="13"/>
      <c r="HS318" s="13"/>
      <c r="HT318" s="13"/>
      <c r="HU318" s="13"/>
      <c r="HV318" s="13"/>
      <c r="HW318" s="13"/>
      <c r="HX318" s="13"/>
      <c r="HY318" s="13"/>
      <c r="HZ318" s="13"/>
      <c r="IA318" s="13"/>
      <c r="IB318" s="13"/>
      <c r="IC318" s="13"/>
      <c r="ID318" s="13"/>
      <c r="IE318" s="13"/>
      <c r="IF318" s="13"/>
      <c r="IG318" s="13"/>
      <c r="IH318" s="13"/>
      <c r="II318" s="13"/>
      <c r="IJ318" s="13"/>
      <c r="IK318" s="13"/>
      <c r="IL318" s="13"/>
      <c r="IM318" s="13"/>
    </row>
    <row r="319" spans="1:247" x14ac:dyDescent="0.25">
      <c r="A319" s="18">
        <v>1</v>
      </c>
      <c r="B319" s="132" t="s">
        <v>107</v>
      </c>
      <c r="C319" s="330">
        <f t="shared" ref="C319:J319" si="118">C306</f>
        <v>0</v>
      </c>
      <c r="D319" s="330">
        <f t="shared" si="118"/>
        <v>0</v>
      </c>
      <c r="E319" s="330">
        <f t="shared" si="118"/>
        <v>0</v>
      </c>
      <c r="F319" s="330">
        <f t="shared" si="118"/>
        <v>0</v>
      </c>
      <c r="G319" s="517">
        <f t="shared" si="118"/>
        <v>46720.167529999999</v>
      </c>
      <c r="H319" s="517">
        <f t="shared" si="118"/>
        <v>31146.78</v>
      </c>
      <c r="I319" s="517">
        <f t="shared" si="118"/>
        <v>22852.396919999999</v>
      </c>
      <c r="J319" s="517">
        <f t="shared" si="118"/>
        <v>73.370014235821486</v>
      </c>
    </row>
    <row r="320" spans="1:247" ht="15.75" thickBot="1" x14ac:dyDescent="0.3">
      <c r="A320" s="18">
        <v>1</v>
      </c>
      <c r="B320" s="85" t="s">
        <v>10</v>
      </c>
      <c r="C320" s="27"/>
      <c r="D320" s="27"/>
      <c r="E320" s="168"/>
      <c r="F320" s="27"/>
      <c r="G320" s="502"/>
      <c r="H320" s="502"/>
      <c r="I320" s="503"/>
      <c r="J320" s="502"/>
    </row>
    <row r="321" spans="1:247" ht="29.25" x14ac:dyDescent="0.25">
      <c r="A321" s="18">
        <v>1</v>
      </c>
      <c r="B321" s="210" t="s">
        <v>78</v>
      </c>
      <c r="C321" s="138"/>
      <c r="D321" s="138"/>
      <c r="E321" s="138"/>
      <c r="F321" s="138"/>
      <c r="G321" s="645"/>
      <c r="H321" s="645"/>
      <c r="I321" s="518"/>
      <c r="J321" s="645"/>
    </row>
    <row r="322" spans="1:247" s="35" customFormat="1" ht="30" x14ac:dyDescent="0.25">
      <c r="A322" s="18">
        <v>1</v>
      </c>
      <c r="B322" s="72" t="s">
        <v>120</v>
      </c>
      <c r="C322" s="113">
        <f>SUM(C323:C326)</f>
        <v>3295</v>
      </c>
      <c r="D322" s="113">
        <f>SUM(D323:D326)</f>
        <v>2197</v>
      </c>
      <c r="E322" s="113">
        <f>SUM(E323:E326)</f>
        <v>2695</v>
      </c>
      <c r="F322" s="113">
        <f>E322/D322*100</f>
        <v>122.66727355484753</v>
      </c>
      <c r="G322" s="465">
        <f>SUM(G323:G326)</f>
        <v>6315.0936700000002</v>
      </c>
      <c r="H322" s="465">
        <f>SUM(H323:H326)</f>
        <v>4210.0600000000004</v>
      </c>
      <c r="I322" s="465">
        <f>SUM(I323:I326)</f>
        <v>5686.0198299999993</v>
      </c>
      <c r="J322" s="465">
        <f t="shared" ref="J322:J332" si="119">I322/H322*100</f>
        <v>135.05792862809554</v>
      </c>
    </row>
    <row r="323" spans="1:247" s="35" customFormat="1" ht="30" x14ac:dyDescent="0.25">
      <c r="A323" s="18">
        <v>1</v>
      </c>
      <c r="B323" s="71" t="s">
        <v>79</v>
      </c>
      <c r="C323" s="113">
        <v>2326</v>
      </c>
      <c r="D323" s="107">
        <f t="shared" ref="D323:D330" si="120">ROUND(C323/12*$B$3,0)</f>
        <v>1551</v>
      </c>
      <c r="E323" s="113">
        <v>1782</v>
      </c>
      <c r="F323" s="113">
        <f>E323/D323*100</f>
        <v>114.89361702127661</v>
      </c>
      <c r="G323" s="465">
        <v>3271.1419999999998</v>
      </c>
      <c r="H323" s="638">
        <f t="shared" ref="H323:H326" si="121">ROUND(G323/12*$B$3,2)</f>
        <v>2180.7600000000002</v>
      </c>
      <c r="I323" s="465">
        <v>2927.2701599999996</v>
      </c>
      <c r="J323" s="465">
        <f t="shared" si="119"/>
        <v>134.23165135090517</v>
      </c>
    </row>
    <row r="324" spans="1:247" s="35" customFormat="1" ht="30" x14ac:dyDescent="0.25">
      <c r="A324" s="18">
        <v>1</v>
      </c>
      <c r="B324" s="71" t="s">
        <v>80</v>
      </c>
      <c r="C324" s="113">
        <v>698</v>
      </c>
      <c r="D324" s="107">
        <f t="shared" si="120"/>
        <v>465</v>
      </c>
      <c r="E324" s="113">
        <v>681</v>
      </c>
      <c r="F324" s="113">
        <f>E324/D324*100</f>
        <v>146.45161290322582</v>
      </c>
      <c r="G324" s="465">
        <v>1265.62799</v>
      </c>
      <c r="H324" s="638">
        <f t="shared" si="121"/>
        <v>843.75</v>
      </c>
      <c r="I324" s="465">
        <v>1236.3471099999999</v>
      </c>
      <c r="J324" s="465">
        <f t="shared" si="119"/>
        <v>146.53002785185186</v>
      </c>
    </row>
    <row r="325" spans="1:247" s="35" customFormat="1" ht="45" x14ac:dyDescent="0.25">
      <c r="A325" s="18">
        <v>1</v>
      </c>
      <c r="B325" s="71" t="s">
        <v>114</v>
      </c>
      <c r="C325" s="113">
        <v>21</v>
      </c>
      <c r="D325" s="107">
        <f t="shared" si="120"/>
        <v>14</v>
      </c>
      <c r="E325" s="113">
        <v>21</v>
      </c>
      <c r="F325" s="113">
        <f>E325/D325*100</f>
        <v>150</v>
      </c>
      <c r="G325" s="465">
        <v>137.80367999999999</v>
      </c>
      <c r="H325" s="638">
        <f t="shared" si="121"/>
        <v>91.87</v>
      </c>
      <c r="I325" s="465">
        <v>137.80367999999999</v>
      </c>
      <c r="J325" s="465">
        <f t="shared" si="119"/>
        <v>149.99856318711221</v>
      </c>
    </row>
    <row r="326" spans="1:247" s="35" customFormat="1" ht="30" x14ac:dyDescent="0.25">
      <c r="A326" s="18">
        <v>1</v>
      </c>
      <c r="B326" s="71" t="s">
        <v>115</v>
      </c>
      <c r="C326" s="113">
        <v>250</v>
      </c>
      <c r="D326" s="107">
        <f t="shared" si="120"/>
        <v>167</v>
      </c>
      <c r="E326" s="113">
        <v>211</v>
      </c>
      <c r="F326" s="113">
        <f t="shared" ref="F326:F330" si="122">E326/D326*100</f>
        <v>126.34730538922156</v>
      </c>
      <c r="G326" s="465">
        <v>1640.52</v>
      </c>
      <c r="H326" s="638">
        <f t="shared" si="121"/>
        <v>1093.68</v>
      </c>
      <c r="I326" s="465">
        <v>1384.59888</v>
      </c>
      <c r="J326" s="465">
        <f t="shared" si="119"/>
        <v>126.6</v>
      </c>
    </row>
    <row r="327" spans="1:247" s="35" customFormat="1" ht="30" x14ac:dyDescent="0.25">
      <c r="A327" s="18">
        <v>1</v>
      </c>
      <c r="B327" s="72" t="s">
        <v>112</v>
      </c>
      <c r="C327" s="113">
        <f>SUM(C328:C330)</f>
        <v>7360</v>
      </c>
      <c r="D327" s="113">
        <f>SUM(D328:D330)</f>
        <v>4906</v>
      </c>
      <c r="E327" s="113">
        <f>SUM(E328:E330)</f>
        <v>3376</v>
      </c>
      <c r="F327" s="113">
        <f t="shared" si="122"/>
        <v>68.813697513249082</v>
      </c>
      <c r="G327" s="458">
        <f>SUM(G328:G330)</f>
        <v>15168.309600000001</v>
      </c>
      <c r="H327" s="458">
        <f>SUM(H328:H330)</f>
        <v>10112.210000000001</v>
      </c>
      <c r="I327" s="458">
        <f>SUM(I328:I330)</f>
        <v>7281.2671299999984</v>
      </c>
      <c r="J327" s="465">
        <f t="shared" si="119"/>
        <v>72.004706488492602</v>
      </c>
    </row>
    <row r="328" spans="1:247" s="35" customFormat="1" ht="30" x14ac:dyDescent="0.25">
      <c r="A328" s="18">
        <v>1</v>
      </c>
      <c r="B328" s="71" t="s">
        <v>108</v>
      </c>
      <c r="C328" s="113">
        <v>2000</v>
      </c>
      <c r="D328" s="107">
        <f t="shared" si="120"/>
        <v>1333</v>
      </c>
      <c r="E328" s="113">
        <v>1134</v>
      </c>
      <c r="F328" s="113">
        <f t="shared" si="122"/>
        <v>85.071267816954247</v>
      </c>
      <c r="G328" s="465">
        <f>4241020/1000</f>
        <v>4241.0200000000004</v>
      </c>
      <c r="H328" s="638">
        <f t="shared" ref="H328:H331" si="123">ROUND(G328/12*$B$3,2)</f>
        <v>2827.35</v>
      </c>
      <c r="I328" s="465">
        <v>2369.5704699999997</v>
      </c>
      <c r="J328" s="465">
        <f t="shared" si="119"/>
        <v>83.808883583567635</v>
      </c>
    </row>
    <row r="329" spans="1:247" s="35" customFormat="1" ht="60" x14ac:dyDescent="0.25">
      <c r="A329" s="18">
        <v>1</v>
      </c>
      <c r="B329" s="71" t="s">
        <v>119</v>
      </c>
      <c r="C329" s="113">
        <v>3200</v>
      </c>
      <c r="D329" s="107">
        <f t="shared" si="120"/>
        <v>2133</v>
      </c>
      <c r="E329" s="113">
        <v>1517</v>
      </c>
      <c r="F329" s="113">
        <f t="shared" si="122"/>
        <v>71.120487576183777</v>
      </c>
      <c r="G329" s="465">
        <f>8810144/1000</f>
        <v>8810.1440000000002</v>
      </c>
      <c r="H329" s="638">
        <f t="shared" si="123"/>
        <v>5873.43</v>
      </c>
      <c r="I329" s="465">
        <v>4155.8159499999992</v>
      </c>
      <c r="J329" s="465">
        <f t="shared" si="119"/>
        <v>70.756201231648276</v>
      </c>
    </row>
    <row r="330" spans="1:247" s="35" customFormat="1" ht="45" x14ac:dyDescent="0.25">
      <c r="A330" s="18">
        <v>1</v>
      </c>
      <c r="B330" s="71" t="s">
        <v>109</v>
      </c>
      <c r="C330" s="113">
        <v>2160</v>
      </c>
      <c r="D330" s="107">
        <f t="shared" si="120"/>
        <v>1440</v>
      </c>
      <c r="E330" s="113">
        <v>725</v>
      </c>
      <c r="F330" s="113">
        <f t="shared" si="122"/>
        <v>50.347222222222221</v>
      </c>
      <c r="G330" s="465">
        <f>2117145.6/1000</f>
        <v>2117.1456000000003</v>
      </c>
      <c r="H330" s="638">
        <f t="shared" si="123"/>
        <v>1411.43</v>
      </c>
      <c r="I330" s="465">
        <v>755.88070999999991</v>
      </c>
      <c r="J330" s="465">
        <f t="shared" si="119"/>
        <v>53.554247111085907</v>
      </c>
    </row>
    <row r="331" spans="1:247" s="35" customFormat="1" ht="30.75" thickBot="1" x14ac:dyDescent="0.3">
      <c r="A331" s="18"/>
      <c r="B331" s="658" t="s">
        <v>123</v>
      </c>
      <c r="C331" s="113">
        <v>12300</v>
      </c>
      <c r="D331" s="107">
        <f>ROUND(C331/12*$B$3,0)</f>
        <v>8200</v>
      </c>
      <c r="E331" s="113">
        <v>9147</v>
      </c>
      <c r="F331" s="115">
        <f>E331/D331*100</f>
        <v>111.54878048780488</v>
      </c>
      <c r="G331" s="465">
        <v>11970.606</v>
      </c>
      <c r="H331" s="638">
        <f t="shared" si="123"/>
        <v>7980.4</v>
      </c>
      <c r="I331" s="465">
        <v>8898.6920800000007</v>
      </c>
      <c r="J331" s="465">
        <f>I331/H331*100</f>
        <v>111.50684276477372</v>
      </c>
    </row>
    <row r="332" spans="1:247" s="35" customFormat="1" ht="15.75" thickBot="1" x14ac:dyDescent="0.3">
      <c r="A332" s="18">
        <v>1</v>
      </c>
      <c r="B332" s="204" t="s">
        <v>3</v>
      </c>
      <c r="C332" s="24"/>
      <c r="D332" s="24"/>
      <c r="E332" s="24"/>
      <c r="F332" s="24"/>
      <c r="G332" s="469">
        <f>G327+G322+G331</f>
        <v>33454.009270000002</v>
      </c>
      <c r="H332" s="469">
        <f>H327+H322+H331</f>
        <v>22302.67</v>
      </c>
      <c r="I332" s="469">
        <f>I327+I322+I331</f>
        <v>21865.979039999998</v>
      </c>
      <c r="J332" s="469">
        <f t="shared" si="119"/>
        <v>98.041979009688077</v>
      </c>
    </row>
    <row r="333" spans="1:247" x14ac:dyDescent="0.25">
      <c r="A333" s="18">
        <v>1</v>
      </c>
      <c r="B333" s="270" t="s">
        <v>46</v>
      </c>
      <c r="C333" s="271"/>
      <c r="D333" s="271"/>
      <c r="E333" s="271"/>
      <c r="F333" s="271"/>
      <c r="G333" s="519"/>
      <c r="H333" s="519"/>
      <c r="I333" s="519"/>
      <c r="J333" s="519"/>
    </row>
    <row r="334" spans="1:247" s="10" customFormat="1" ht="30" x14ac:dyDescent="0.25">
      <c r="A334" s="18">
        <v>1</v>
      </c>
      <c r="B334" s="234" t="s">
        <v>120</v>
      </c>
      <c r="C334" s="331">
        <f t="shared" ref="C334:J342" si="124">C322</f>
        <v>3295</v>
      </c>
      <c r="D334" s="331">
        <f t="shared" si="124"/>
        <v>2197</v>
      </c>
      <c r="E334" s="331">
        <f t="shared" si="124"/>
        <v>2695</v>
      </c>
      <c r="F334" s="331">
        <f t="shared" si="124"/>
        <v>122.66727355484753</v>
      </c>
      <c r="G334" s="520">
        <f t="shared" si="124"/>
        <v>6315.0936700000002</v>
      </c>
      <c r="H334" s="520">
        <f t="shared" si="124"/>
        <v>4210.0600000000004</v>
      </c>
      <c r="I334" s="520">
        <f t="shared" si="124"/>
        <v>5686.0198299999993</v>
      </c>
      <c r="J334" s="520">
        <f t="shared" si="124"/>
        <v>135.05792862809554</v>
      </c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  <c r="BC334" s="13"/>
      <c r="BD334" s="13"/>
      <c r="BE334" s="13"/>
      <c r="BF334" s="13"/>
      <c r="BG334" s="13"/>
      <c r="BH334" s="13"/>
      <c r="BI334" s="13"/>
      <c r="BJ334" s="13"/>
      <c r="BK334" s="13"/>
      <c r="BL334" s="13"/>
      <c r="BM334" s="13"/>
      <c r="BN334" s="13"/>
      <c r="BO334" s="13"/>
      <c r="BP334" s="13"/>
      <c r="BQ334" s="13"/>
      <c r="BR334" s="13"/>
      <c r="BS334" s="13"/>
      <c r="BT334" s="13"/>
      <c r="BU334" s="13"/>
      <c r="BV334" s="13"/>
      <c r="BW334" s="13"/>
      <c r="BX334" s="13"/>
      <c r="BY334" s="13"/>
      <c r="BZ334" s="13"/>
      <c r="CA334" s="13"/>
      <c r="CB334" s="13"/>
      <c r="CC334" s="13"/>
      <c r="CD334" s="13"/>
      <c r="CE334" s="13"/>
      <c r="CF334" s="13"/>
      <c r="CG334" s="13"/>
      <c r="CH334" s="13"/>
      <c r="CI334" s="13"/>
      <c r="CJ334" s="13"/>
      <c r="CK334" s="13"/>
      <c r="CL334" s="13"/>
      <c r="CM334" s="13"/>
      <c r="CN334" s="13"/>
      <c r="CO334" s="13"/>
      <c r="CP334" s="13"/>
      <c r="CQ334" s="13"/>
      <c r="CR334" s="13"/>
      <c r="CS334" s="13"/>
      <c r="CT334" s="13"/>
      <c r="CU334" s="13"/>
      <c r="CV334" s="13"/>
      <c r="CW334" s="13"/>
      <c r="CX334" s="13"/>
      <c r="CY334" s="13"/>
      <c r="CZ334" s="13"/>
      <c r="DA334" s="13"/>
      <c r="DB334" s="13"/>
      <c r="DC334" s="13"/>
      <c r="DD334" s="13"/>
      <c r="DE334" s="13"/>
      <c r="DF334" s="13"/>
      <c r="DG334" s="13"/>
      <c r="DH334" s="13"/>
      <c r="DI334" s="13"/>
      <c r="DJ334" s="13"/>
      <c r="DK334" s="13"/>
      <c r="DL334" s="13"/>
      <c r="DM334" s="13"/>
      <c r="DN334" s="13"/>
      <c r="DO334" s="13"/>
      <c r="DP334" s="13"/>
      <c r="DQ334" s="13"/>
      <c r="DR334" s="13"/>
      <c r="DS334" s="13"/>
      <c r="DT334" s="13"/>
      <c r="DU334" s="13"/>
      <c r="DV334" s="13"/>
      <c r="DW334" s="13"/>
      <c r="DX334" s="13"/>
      <c r="DY334" s="13"/>
      <c r="DZ334" s="13"/>
      <c r="EA334" s="13"/>
      <c r="EB334" s="13"/>
      <c r="EC334" s="13"/>
      <c r="ED334" s="13"/>
      <c r="EE334" s="13"/>
      <c r="EF334" s="13"/>
      <c r="EG334" s="13"/>
      <c r="EH334" s="13"/>
      <c r="EI334" s="13"/>
      <c r="EJ334" s="13"/>
      <c r="EK334" s="13"/>
      <c r="EL334" s="13"/>
      <c r="EM334" s="13"/>
      <c r="EN334" s="13"/>
      <c r="EO334" s="13"/>
      <c r="EP334" s="13"/>
      <c r="EQ334" s="13"/>
      <c r="ER334" s="13"/>
      <c r="ES334" s="13"/>
      <c r="ET334" s="13"/>
      <c r="EU334" s="13"/>
      <c r="EV334" s="13"/>
      <c r="EW334" s="13"/>
      <c r="EX334" s="13"/>
      <c r="EY334" s="13"/>
      <c r="EZ334" s="13"/>
      <c r="FA334" s="13"/>
      <c r="FB334" s="13"/>
      <c r="FC334" s="13"/>
      <c r="FD334" s="13"/>
      <c r="FE334" s="13"/>
      <c r="FF334" s="13"/>
      <c r="FG334" s="13"/>
      <c r="FH334" s="13"/>
      <c r="FI334" s="13"/>
      <c r="FJ334" s="13"/>
      <c r="FK334" s="13"/>
      <c r="FL334" s="13"/>
      <c r="FM334" s="13"/>
      <c r="FN334" s="13"/>
      <c r="FO334" s="13"/>
      <c r="FP334" s="13"/>
      <c r="FQ334" s="13"/>
      <c r="FR334" s="13"/>
      <c r="FS334" s="13"/>
      <c r="FT334" s="13"/>
      <c r="FU334" s="13"/>
      <c r="FV334" s="13"/>
      <c r="FW334" s="13"/>
      <c r="FX334" s="13"/>
      <c r="FY334" s="13"/>
      <c r="FZ334" s="13"/>
      <c r="GA334" s="13"/>
      <c r="GB334" s="13"/>
      <c r="GC334" s="13"/>
      <c r="GD334" s="13"/>
      <c r="GE334" s="13"/>
      <c r="GF334" s="13"/>
      <c r="GG334" s="13"/>
      <c r="GH334" s="13"/>
      <c r="GI334" s="13"/>
      <c r="GJ334" s="13"/>
      <c r="GK334" s="13"/>
      <c r="GL334" s="13"/>
      <c r="GM334" s="13"/>
      <c r="GN334" s="13"/>
      <c r="GO334" s="13"/>
      <c r="GP334" s="13"/>
      <c r="GQ334" s="13"/>
      <c r="GR334" s="13"/>
      <c r="GS334" s="13"/>
      <c r="GT334" s="13"/>
      <c r="GU334" s="13"/>
      <c r="GV334" s="13"/>
      <c r="GW334" s="13"/>
      <c r="GX334" s="13"/>
      <c r="GY334" s="13"/>
      <c r="GZ334" s="13"/>
      <c r="HA334" s="13"/>
      <c r="HB334" s="13"/>
      <c r="HC334" s="13"/>
      <c r="HD334" s="13"/>
      <c r="HE334" s="13"/>
      <c r="HF334" s="13"/>
      <c r="HG334" s="13"/>
      <c r="HH334" s="13"/>
      <c r="HI334" s="13"/>
      <c r="HJ334" s="13"/>
      <c r="HK334" s="13"/>
      <c r="HL334" s="13"/>
      <c r="HM334" s="13"/>
      <c r="HN334" s="13"/>
      <c r="HO334" s="13"/>
      <c r="HP334" s="13"/>
      <c r="HQ334" s="13"/>
      <c r="HR334" s="13"/>
      <c r="HS334" s="13"/>
      <c r="HT334" s="13"/>
      <c r="HU334" s="13"/>
      <c r="HV334" s="13"/>
      <c r="HW334" s="13"/>
      <c r="HX334" s="13"/>
      <c r="HY334" s="13"/>
      <c r="HZ334" s="13"/>
      <c r="IA334" s="13"/>
      <c r="IB334" s="13"/>
      <c r="IC334" s="13"/>
      <c r="ID334" s="13"/>
      <c r="IE334" s="13"/>
      <c r="IF334" s="13"/>
      <c r="IG334" s="13"/>
      <c r="IH334" s="13"/>
      <c r="II334" s="13"/>
      <c r="IJ334" s="13"/>
      <c r="IK334" s="13"/>
      <c r="IL334" s="13"/>
      <c r="IM334" s="13"/>
    </row>
    <row r="335" spans="1:247" s="10" customFormat="1" ht="30" x14ac:dyDescent="0.25">
      <c r="A335" s="18">
        <v>1</v>
      </c>
      <c r="B335" s="200" t="s">
        <v>79</v>
      </c>
      <c r="C335" s="331">
        <f t="shared" si="124"/>
        <v>2326</v>
      </c>
      <c r="D335" s="331">
        <f t="shared" si="124"/>
        <v>1551</v>
      </c>
      <c r="E335" s="331">
        <f t="shared" si="124"/>
        <v>1782</v>
      </c>
      <c r="F335" s="331">
        <f t="shared" si="124"/>
        <v>114.89361702127661</v>
      </c>
      <c r="G335" s="520">
        <f t="shared" si="124"/>
        <v>3271.1419999999998</v>
      </c>
      <c r="H335" s="520">
        <f t="shared" si="124"/>
        <v>2180.7600000000002</v>
      </c>
      <c r="I335" s="520">
        <f t="shared" si="124"/>
        <v>2927.2701599999996</v>
      </c>
      <c r="J335" s="520">
        <f t="shared" si="124"/>
        <v>134.23165135090517</v>
      </c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  <c r="BC335" s="13"/>
      <c r="BD335" s="13"/>
      <c r="BE335" s="13"/>
      <c r="BF335" s="13"/>
      <c r="BG335" s="13"/>
      <c r="BH335" s="13"/>
      <c r="BI335" s="13"/>
      <c r="BJ335" s="13"/>
      <c r="BK335" s="13"/>
      <c r="BL335" s="13"/>
      <c r="BM335" s="13"/>
      <c r="BN335" s="13"/>
      <c r="BO335" s="13"/>
      <c r="BP335" s="13"/>
      <c r="BQ335" s="13"/>
      <c r="BR335" s="13"/>
      <c r="BS335" s="13"/>
      <c r="BT335" s="13"/>
      <c r="BU335" s="13"/>
      <c r="BV335" s="13"/>
      <c r="BW335" s="13"/>
      <c r="BX335" s="13"/>
      <c r="BY335" s="13"/>
      <c r="BZ335" s="13"/>
      <c r="CA335" s="13"/>
      <c r="CB335" s="13"/>
      <c r="CC335" s="13"/>
      <c r="CD335" s="13"/>
      <c r="CE335" s="13"/>
      <c r="CF335" s="13"/>
      <c r="CG335" s="13"/>
      <c r="CH335" s="13"/>
      <c r="CI335" s="13"/>
      <c r="CJ335" s="13"/>
      <c r="CK335" s="13"/>
      <c r="CL335" s="13"/>
      <c r="CM335" s="13"/>
      <c r="CN335" s="13"/>
      <c r="CO335" s="13"/>
      <c r="CP335" s="13"/>
      <c r="CQ335" s="13"/>
      <c r="CR335" s="13"/>
      <c r="CS335" s="13"/>
      <c r="CT335" s="13"/>
      <c r="CU335" s="13"/>
      <c r="CV335" s="13"/>
      <c r="CW335" s="13"/>
      <c r="CX335" s="13"/>
      <c r="CY335" s="13"/>
      <c r="CZ335" s="13"/>
      <c r="DA335" s="13"/>
      <c r="DB335" s="13"/>
      <c r="DC335" s="13"/>
      <c r="DD335" s="13"/>
      <c r="DE335" s="13"/>
      <c r="DF335" s="13"/>
      <c r="DG335" s="13"/>
      <c r="DH335" s="13"/>
      <c r="DI335" s="13"/>
      <c r="DJ335" s="13"/>
      <c r="DK335" s="13"/>
      <c r="DL335" s="13"/>
      <c r="DM335" s="13"/>
      <c r="DN335" s="13"/>
      <c r="DO335" s="13"/>
      <c r="DP335" s="13"/>
      <c r="DQ335" s="13"/>
      <c r="DR335" s="13"/>
      <c r="DS335" s="13"/>
      <c r="DT335" s="13"/>
      <c r="DU335" s="13"/>
      <c r="DV335" s="13"/>
      <c r="DW335" s="13"/>
      <c r="DX335" s="13"/>
      <c r="DY335" s="13"/>
      <c r="DZ335" s="13"/>
      <c r="EA335" s="13"/>
      <c r="EB335" s="13"/>
      <c r="EC335" s="13"/>
      <c r="ED335" s="13"/>
      <c r="EE335" s="13"/>
      <c r="EF335" s="13"/>
      <c r="EG335" s="13"/>
      <c r="EH335" s="13"/>
      <c r="EI335" s="13"/>
      <c r="EJ335" s="13"/>
      <c r="EK335" s="13"/>
      <c r="EL335" s="13"/>
      <c r="EM335" s="13"/>
      <c r="EN335" s="13"/>
      <c r="EO335" s="13"/>
      <c r="EP335" s="13"/>
      <c r="EQ335" s="13"/>
      <c r="ER335" s="13"/>
      <c r="ES335" s="13"/>
      <c r="ET335" s="13"/>
      <c r="EU335" s="13"/>
      <c r="EV335" s="13"/>
      <c r="EW335" s="13"/>
      <c r="EX335" s="13"/>
      <c r="EY335" s="13"/>
      <c r="EZ335" s="13"/>
      <c r="FA335" s="13"/>
      <c r="FB335" s="13"/>
      <c r="FC335" s="13"/>
      <c r="FD335" s="13"/>
      <c r="FE335" s="13"/>
      <c r="FF335" s="13"/>
      <c r="FG335" s="13"/>
      <c r="FH335" s="13"/>
      <c r="FI335" s="13"/>
      <c r="FJ335" s="13"/>
      <c r="FK335" s="13"/>
      <c r="FL335" s="13"/>
      <c r="FM335" s="13"/>
      <c r="FN335" s="13"/>
      <c r="FO335" s="13"/>
      <c r="FP335" s="13"/>
      <c r="FQ335" s="13"/>
      <c r="FR335" s="13"/>
      <c r="FS335" s="13"/>
      <c r="FT335" s="13"/>
      <c r="FU335" s="13"/>
      <c r="FV335" s="13"/>
      <c r="FW335" s="13"/>
      <c r="FX335" s="13"/>
      <c r="FY335" s="13"/>
      <c r="FZ335" s="13"/>
      <c r="GA335" s="13"/>
      <c r="GB335" s="13"/>
      <c r="GC335" s="13"/>
      <c r="GD335" s="13"/>
      <c r="GE335" s="13"/>
      <c r="GF335" s="13"/>
      <c r="GG335" s="13"/>
      <c r="GH335" s="13"/>
      <c r="GI335" s="13"/>
      <c r="GJ335" s="13"/>
      <c r="GK335" s="13"/>
      <c r="GL335" s="13"/>
      <c r="GM335" s="13"/>
      <c r="GN335" s="13"/>
      <c r="GO335" s="13"/>
      <c r="GP335" s="13"/>
      <c r="GQ335" s="13"/>
      <c r="GR335" s="13"/>
      <c r="GS335" s="13"/>
      <c r="GT335" s="13"/>
      <c r="GU335" s="13"/>
      <c r="GV335" s="13"/>
      <c r="GW335" s="13"/>
      <c r="GX335" s="13"/>
      <c r="GY335" s="13"/>
      <c r="GZ335" s="13"/>
      <c r="HA335" s="13"/>
      <c r="HB335" s="13"/>
      <c r="HC335" s="13"/>
      <c r="HD335" s="13"/>
      <c r="HE335" s="13"/>
      <c r="HF335" s="13"/>
      <c r="HG335" s="13"/>
      <c r="HH335" s="13"/>
      <c r="HI335" s="13"/>
      <c r="HJ335" s="13"/>
      <c r="HK335" s="13"/>
      <c r="HL335" s="13"/>
      <c r="HM335" s="13"/>
      <c r="HN335" s="13"/>
      <c r="HO335" s="13"/>
      <c r="HP335" s="13"/>
      <c r="HQ335" s="13"/>
      <c r="HR335" s="13"/>
      <c r="HS335" s="13"/>
      <c r="HT335" s="13"/>
      <c r="HU335" s="13"/>
      <c r="HV335" s="13"/>
      <c r="HW335" s="13"/>
      <c r="HX335" s="13"/>
      <c r="HY335" s="13"/>
      <c r="HZ335" s="13"/>
      <c r="IA335" s="13"/>
      <c r="IB335" s="13"/>
      <c r="IC335" s="13"/>
      <c r="ID335" s="13"/>
      <c r="IE335" s="13"/>
      <c r="IF335" s="13"/>
      <c r="IG335" s="13"/>
      <c r="IH335" s="13"/>
      <c r="II335" s="13"/>
      <c r="IJ335" s="13"/>
      <c r="IK335" s="13"/>
      <c r="IL335" s="13"/>
      <c r="IM335" s="13"/>
    </row>
    <row r="336" spans="1:247" s="10" customFormat="1" ht="30" x14ac:dyDescent="0.25">
      <c r="A336" s="18">
        <v>1</v>
      </c>
      <c r="B336" s="200" t="s">
        <v>80</v>
      </c>
      <c r="C336" s="331">
        <f t="shared" si="124"/>
        <v>698</v>
      </c>
      <c r="D336" s="331">
        <f t="shared" si="124"/>
        <v>465</v>
      </c>
      <c r="E336" s="331">
        <f t="shared" si="124"/>
        <v>681</v>
      </c>
      <c r="F336" s="331">
        <f t="shared" si="124"/>
        <v>146.45161290322582</v>
      </c>
      <c r="G336" s="520">
        <f t="shared" si="124"/>
        <v>1265.62799</v>
      </c>
      <c r="H336" s="520">
        <f t="shared" si="124"/>
        <v>843.75</v>
      </c>
      <c r="I336" s="520">
        <f t="shared" si="124"/>
        <v>1236.3471099999999</v>
      </c>
      <c r="J336" s="520">
        <f t="shared" si="124"/>
        <v>146.53002785185186</v>
      </c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  <c r="BA336" s="13"/>
      <c r="BB336" s="13"/>
      <c r="BC336" s="13"/>
      <c r="BD336" s="13"/>
      <c r="BE336" s="13"/>
      <c r="BF336" s="13"/>
      <c r="BG336" s="13"/>
      <c r="BH336" s="13"/>
      <c r="BI336" s="13"/>
      <c r="BJ336" s="13"/>
      <c r="BK336" s="13"/>
      <c r="BL336" s="13"/>
      <c r="BM336" s="13"/>
      <c r="BN336" s="13"/>
      <c r="BO336" s="13"/>
      <c r="BP336" s="13"/>
      <c r="BQ336" s="13"/>
      <c r="BR336" s="13"/>
      <c r="BS336" s="13"/>
      <c r="BT336" s="13"/>
      <c r="BU336" s="13"/>
      <c r="BV336" s="13"/>
      <c r="BW336" s="13"/>
      <c r="BX336" s="13"/>
      <c r="BY336" s="13"/>
      <c r="BZ336" s="13"/>
      <c r="CA336" s="13"/>
      <c r="CB336" s="13"/>
      <c r="CC336" s="13"/>
      <c r="CD336" s="13"/>
      <c r="CE336" s="13"/>
      <c r="CF336" s="13"/>
      <c r="CG336" s="13"/>
      <c r="CH336" s="13"/>
      <c r="CI336" s="13"/>
      <c r="CJ336" s="13"/>
      <c r="CK336" s="13"/>
      <c r="CL336" s="13"/>
      <c r="CM336" s="13"/>
      <c r="CN336" s="13"/>
      <c r="CO336" s="13"/>
      <c r="CP336" s="13"/>
      <c r="CQ336" s="13"/>
      <c r="CR336" s="13"/>
      <c r="CS336" s="13"/>
      <c r="CT336" s="13"/>
      <c r="CU336" s="13"/>
      <c r="CV336" s="13"/>
      <c r="CW336" s="13"/>
      <c r="CX336" s="13"/>
      <c r="CY336" s="13"/>
      <c r="CZ336" s="13"/>
      <c r="DA336" s="13"/>
      <c r="DB336" s="13"/>
      <c r="DC336" s="13"/>
      <c r="DD336" s="13"/>
      <c r="DE336" s="13"/>
      <c r="DF336" s="13"/>
      <c r="DG336" s="13"/>
      <c r="DH336" s="13"/>
      <c r="DI336" s="13"/>
      <c r="DJ336" s="13"/>
      <c r="DK336" s="13"/>
      <c r="DL336" s="13"/>
      <c r="DM336" s="13"/>
      <c r="DN336" s="13"/>
      <c r="DO336" s="13"/>
      <c r="DP336" s="13"/>
      <c r="DQ336" s="13"/>
      <c r="DR336" s="13"/>
      <c r="DS336" s="13"/>
      <c r="DT336" s="13"/>
      <c r="DU336" s="13"/>
      <c r="DV336" s="13"/>
      <c r="DW336" s="13"/>
      <c r="DX336" s="13"/>
      <c r="DY336" s="13"/>
      <c r="DZ336" s="13"/>
      <c r="EA336" s="13"/>
      <c r="EB336" s="13"/>
      <c r="EC336" s="13"/>
      <c r="ED336" s="13"/>
      <c r="EE336" s="13"/>
      <c r="EF336" s="13"/>
      <c r="EG336" s="13"/>
      <c r="EH336" s="13"/>
      <c r="EI336" s="13"/>
      <c r="EJ336" s="13"/>
      <c r="EK336" s="13"/>
      <c r="EL336" s="13"/>
      <c r="EM336" s="13"/>
      <c r="EN336" s="13"/>
      <c r="EO336" s="13"/>
      <c r="EP336" s="13"/>
      <c r="EQ336" s="13"/>
      <c r="ER336" s="13"/>
      <c r="ES336" s="13"/>
      <c r="ET336" s="13"/>
      <c r="EU336" s="13"/>
      <c r="EV336" s="13"/>
      <c r="EW336" s="13"/>
      <c r="EX336" s="13"/>
      <c r="EY336" s="13"/>
      <c r="EZ336" s="13"/>
      <c r="FA336" s="13"/>
      <c r="FB336" s="13"/>
      <c r="FC336" s="13"/>
      <c r="FD336" s="13"/>
      <c r="FE336" s="13"/>
      <c r="FF336" s="13"/>
      <c r="FG336" s="13"/>
      <c r="FH336" s="13"/>
      <c r="FI336" s="13"/>
      <c r="FJ336" s="13"/>
      <c r="FK336" s="13"/>
      <c r="FL336" s="13"/>
      <c r="FM336" s="13"/>
      <c r="FN336" s="13"/>
      <c r="FO336" s="13"/>
      <c r="FP336" s="13"/>
      <c r="FQ336" s="13"/>
      <c r="FR336" s="13"/>
      <c r="FS336" s="13"/>
      <c r="FT336" s="13"/>
      <c r="FU336" s="13"/>
      <c r="FV336" s="13"/>
      <c r="FW336" s="13"/>
      <c r="FX336" s="13"/>
      <c r="FY336" s="13"/>
      <c r="FZ336" s="13"/>
      <c r="GA336" s="13"/>
      <c r="GB336" s="13"/>
      <c r="GC336" s="13"/>
      <c r="GD336" s="13"/>
      <c r="GE336" s="13"/>
      <c r="GF336" s="13"/>
      <c r="GG336" s="13"/>
      <c r="GH336" s="13"/>
      <c r="GI336" s="13"/>
      <c r="GJ336" s="13"/>
      <c r="GK336" s="13"/>
      <c r="GL336" s="13"/>
      <c r="GM336" s="13"/>
      <c r="GN336" s="13"/>
      <c r="GO336" s="13"/>
      <c r="GP336" s="13"/>
      <c r="GQ336" s="13"/>
      <c r="GR336" s="13"/>
      <c r="GS336" s="13"/>
      <c r="GT336" s="13"/>
      <c r="GU336" s="13"/>
      <c r="GV336" s="13"/>
      <c r="GW336" s="13"/>
      <c r="GX336" s="13"/>
      <c r="GY336" s="13"/>
      <c r="GZ336" s="13"/>
      <c r="HA336" s="13"/>
      <c r="HB336" s="13"/>
      <c r="HC336" s="13"/>
      <c r="HD336" s="13"/>
      <c r="HE336" s="13"/>
      <c r="HF336" s="13"/>
      <c r="HG336" s="13"/>
      <c r="HH336" s="13"/>
      <c r="HI336" s="13"/>
      <c r="HJ336" s="13"/>
      <c r="HK336" s="13"/>
      <c r="HL336" s="13"/>
      <c r="HM336" s="13"/>
      <c r="HN336" s="13"/>
      <c r="HO336" s="13"/>
      <c r="HP336" s="13"/>
      <c r="HQ336" s="13"/>
      <c r="HR336" s="13"/>
      <c r="HS336" s="13"/>
      <c r="HT336" s="13"/>
      <c r="HU336" s="13"/>
      <c r="HV336" s="13"/>
      <c r="HW336" s="13"/>
      <c r="HX336" s="13"/>
      <c r="HY336" s="13"/>
      <c r="HZ336" s="13"/>
      <c r="IA336" s="13"/>
      <c r="IB336" s="13"/>
      <c r="IC336" s="13"/>
      <c r="ID336" s="13"/>
      <c r="IE336" s="13"/>
      <c r="IF336" s="13"/>
      <c r="IG336" s="13"/>
      <c r="IH336" s="13"/>
      <c r="II336" s="13"/>
      <c r="IJ336" s="13"/>
      <c r="IK336" s="13"/>
      <c r="IL336" s="13"/>
      <c r="IM336" s="13"/>
    </row>
    <row r="337" spans="1:247" s="10" customFormat="1" ht="45" x14ac:dyDescent="0.25">
      <c r="A337" s="18">
        <v>1</v>
      </c>
      <c r="B337" s="200" t="s">
        <v>114</v>
      </c>
      <c r="C337" s="331">
        <f t="shared" si="124"/>
        <v>21</v>
      </c>
      <c r="D337" s="331">
        <f t="shared" si="124"/>
        <v>14</v>
      </c>
      <c r="E337" s="331">
        <f t="shared" si="124"/>
        <v>21</v>
      </c>
      <c r="F337" s="331">
        <f t="shared" si="124"/>
        <v>150</v>
      </c>
      <c r="G337" s="520">
        <f t="shared" si="124"/>
        <v>137.80367999999999</v>
      </c>
      <c r="H337" s="520">
        <f t="shared" si="124"/>
        <v>91.87</v>
      </c>
      <c r="I337" s="520">
        <f t="shared" si="124"/>
        <v>137.80367999999999</v>
      </c>
      <c r="J337" s="520">
        <f t="shared" si="124"/>
        <v>149.99856318711221</v>
      </c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  <c r="BA337" s="13"/>
      <c r="BB337" s="13"/>
      <c r="BC337" s="13"/>
      <c r="BD337" s="13"/>
      <c r="BE337" s="13"/>
      <c r="BF337" s="13"/>
      <c r="BG337" s="13"/>
      <c r="BH337" s="13"/>
      <c r="BI337" s="13"/>
      <c r="BJ337" s="13"/>
      <c r="BK337" s="13"/>
      <c r="BL337" s="13"/>
      <c r="BM337" s="13"/>
      <c r="BN337" s="13"/>
      <c r="BO337" s="13"/>
      <c r="BP337" s="13"/>
      <c r="BQ337" s="13"/>
      <c r="BR337" s="13"/>
      <c r="BS337" s="13"/>
      <c r="BT337" s="13"/>
      <c r="BU337" s="13"/>
      <c r="BV337" s="13"/>
      <c r="BW337" s="13"/>
      <c r="BX337" s="13"/>
      <c r="BY337" s="13"/>
      <c r="BZ337" s="13"/>
      <c r="CA337" s="13"/>
      <c r="CB337" s="13"/>
      <c r="CC337" s="13"/>
      <c r="CD337" s="13"/>
      <c r="CE337" s="13"/>
      <c r="CF337" s="13"/>
      <c r="CG337" s="13"/>
      <c r="CH337" s="13"/>
      <c r="CI337" s="13"/>
      <c r="CJ337" s="13"/>
      <c r="CK337" s="13"/>
      <c r="CL337" s="13"/>
      <c r="CM337" s="13"/>
      <c r="CN337" s="13"/>
      <c r="CO337" s="13"/>
      <c r="CP337" s="13"/>
      <c r="CQ337" s="13"/>
      <c r="CR337" s="13"/>
      <c r="CS337" s="13"/>
      <c r="CT337" s="13"/>
      <c r="CU337" s="13"/>
      <c r="CV337" s="13"/>
      <c r="CW337" s="13"/>
      <c r="CX337" s="13"/>
      <c r="CY337" s="13"/>
      <c r="CZ337" s="13"/>
      <c r="DA337" s="13"/>
      <c r="DB337" s="13"/>
      <c r="DC337" s="13"/>
      <c r="DD337" s="13"/>
      <c r="DE337" s="13"/>
      <c r="DF337" s="13"/>
      <c r="DG337" s="13"/>
      <c r="DH337" s="13"/>
      <c r="DI337" s="13"/>
      <c r="DJ337" s="13"/>
      <c r="DK337" s="13"/>
      <c r="DL337" s="13"/>
      <c r="DM337" s="13"/>
      <c r="DN337" s="13"/>
      <c r="DO337" s="13"/>
      <c r="DP337" s="13"/>
      <c r="DQ337" s="13"/>
      <c r="DR337" s="13"/>
      <c r="DS337" s="13"/>
      <c r="DT337" s="13"/>
      <c r="DU337" s="13"/>
      <c r="DV337" s="13"/>
      <c r="DW337" s="13"/>
      <c r="DX337" s="13"/>
      <c r="DY337" s="13"/>
      <c r="DZ337" s="13"/>
      <c r="EA337" s="13"/>
      <c r="EB337" s="13"/>
      <c r="EC337" s="13"/>
      <c r="ED337" s="13"/>
      <c r="EE337" s="13"/>
      <c r="EF337" s="13"/>
      <c r="EG337" s="13"/>
      <c r="EH337" s="13"/>
      <c r="EI337" s="13"/>
      <c r="EJ337" s="13"/>
      <c r="EK337" s="13"/>
      <c r="EL337" s="13"/>
      <c r="EM337" s="13"/>
      <c r="EN337" s="13"/>
      <c r="EO337" s="13"/>
      <c r="EP337" s="13"/>
      <c r="EQ337" s="13"/>
      <c r="ER337" s="13"/>
      <c r="ES337" s="13"/>
      <c r="ET337" s="13"/>
      <c r="EU337" s="13"/>
      <c r="EV337" s="13"/>
      <c r="EW337" s="13"/>
      <c r="EX337" s="13"/>
      <c r="EY337" s="13"/>
      <c r="EZ337" s="13"/>
      <c r="FA337" s="13"/>
      <c r="FB337" s="13"/>
      <c r="FC337" s="13"/>
      <c r="FD337" s="13"/>
      <c r="FE337" s="13"/>
      <c r="FF337" s="13"/>
      <c r="FG337" s="13"/>
      <c r="FH337" s="13"/>
      <c r="FI337" s="13"/>
      <c r="FJ337" s="13"/>
      <c r="FK337" s="13"/>
      <c r="FL337" s="13"/>
      <c r="FM337" s="13"/>
      <c r="FN337" s="13"/>
      <c r="FO337" s="13"/>
      <c r="FP337" s="13"/>
      <c r="FQ337" s="13"/>
      <c r="FR337" s="13"/>
      <c r="FS337" s="13"/>
      <c r="FT337" s="13"/>
      <c r="FU337" s="13"/>
      <c r="FV337" s="13"/>
      <c r="FW337" s="13"/>
      <c r="FX337" s="13"/>
      <c r="FY337" s="13"/>
      <c r="FZ337" s="13"/>
      <c r="GA337" s="13"/>
      <c r="GB337" s="13"/>
      <c r="GC337" s="13"/>
      <c r="GD337" s="13"/>
      <c r="GE337" s="13"/>
      <c r="GF337" s="13"/>
      <c r="GG337" s="13"/>
      <c r="GH337" s="13"/>
      <c r="GI337" s="13"/>
      <c r="GJ337" s="13"/>
      <c r="GK337" s="13"/>
      <c r="GL337" s="13"/>
      <c r="GM337" s="13"/>
      <c r="GN337" s="13"/>
      <c r="GO337" s="13"/>
      <c r="GP337" s="13"/>
      <c r="GQ337" s="13"/>
      <c r="GR337" s="13"/>
      <c r="GS337" s="13"/>
      <c r="GT337" s="13"/>
      <c r="GU337" s="13"/>
      <c r="GV337" s="13"/>
      <c r="GW337" s="13"/>
      <c r="GX337" s="13"/>
      <c r="GY337" s="13"/>
      <c r="GZ337" s="13"/>
      <c r="HA337" s="13"/>
      <c r="HB337" s="13"/>
      <c r="HC337" s="13"/>
      <c r="HD337" s="13"/>
      <c r="HE337" s="13"/>
      <c r="HF337" s="13"/>
      <c r="HG337" s="13"/>
      <c r="HH337" s="13"/>
      <c r="HI337" s="13"/>
      <c r="HJ337" s="13"/>
      <c r="HK337" s="13"/>
      <c r="HL337" s="13"/>
      <c r="HM337" s="13"/>
      <c r="HN337" s="13"/>
      <c r="HO337" s="13"/>
      <c r="HP337" s="13"/>
      <c r="HQ337" s="13"/>
      <c r="HR337" s="13"/>
      <c r="HS337" s="13"/>
      <c r="HT337" s="13"/>
      <c r="HU337" s="13"/>
      <c r="HV337" s="13"/>
      <c r="HW337" s="13"/>
      <c r="HX337" s="13"/>
      <c r="HY337" s="13"/>
      <c r="HZ337" s="13"/>
      <c r="IA337" s="13"/>
      <c r="IB337" s="13"/>
      <c r="IC337" s="13"/>
      <c r="ID337" s="13"/>
      <c r="IE337" s="13"/>
      <c r="IF337" s="13"/>
      <c r="IG337" s="13"/>
      <c r="IH337" s="13"/>
      <c r="II337" s="13"/>
      <c r="IJ337" s="13"/>
      <c r="IK337" s="13"/>
      <c r="IL337" s="13"/>
      <c r="IM337" s="13"/>
    </row>
    <row r="338" spans="1:247" s="10" customFormat="1" ht="30" x14ac:dyDescent="0.25">
      <c r="A338" s="18">
        <v>1</v>
      </c>
      <c r="B338" s="200" t="s">
        <v>115</v>
      </c>
      <c r="C338" s="331">
        <f t="shared" si="124"/>
        <v>250</v>
      </c>
      <c r="D338" s="331">
        <f t="shared" si="124"/>
        <v>167</v>
      </c>
      <c r="E338" s="331">
        <f t="shared" si="124"/>
        <v>211</v>
      </c>
      <c r="F338" s="331">
        <f t="shared" si="124"/>
        <v>126.34730538922156</v>
      </c>
      <c r="G338" s="520">
        <f t="shared" si="124"/>
        <v>1640.52</v>
      </c>
      <c r="H338" s="520">
        <f t="shared" si="124"/>
        <v>1093.68</v>
      </c>
      <c r="I338" s="520">
        <f t="shared" si="124"/>
        <v>1384.59888</v>
      </c>
      <c r="J338" s="520">
        <f t="shared" si="124"/>
        <v>126.6</v>
      </c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  <c r="BA338" s="13"/>
      <c r="BB338" s="13"/>
      <c r="BC338" s="13"/>
      <c r="BD338" s="13"/>
      <c r="BE338" s="13"/>
      <c r="BF338" s="13"/>
      <c r="BG338" s="13"/>
      <c r="BH338" s="13"/>
      <c r="BI338" s="13"/>
      <c r="BJ338" s="13"/>
      <c r="BK338" s="13"/>
      <c r="BL338" s="13"/>
      <c r="BM338" s="13"/>
      <c r="BN338" s="13"/>
      <c r="BO338" s="13"/>
      <c r="BP338" s="13"/>
      <c r="BQ338" s="13"/>
      <c r="BR338" s="13"/>
      <c r="BS338" s="13"/>
      <c r="BT338" s="13"/>
      <c r="BU338" s="13"/>
      <c r="BV338" s="13"/>
      <c r="BW338" s="13"/>
      <c r="BX338" s="13"/>
      <c r="BY338" s="13"/>
      <c r="BZ338" s="13"/>
      <c r="CA338" s="13"/>
      <c r="CB338" s="13"/>
      <c r="CC338" s="13"/>
      <c r="CD338" s="13"/>
      <c r="CE338" s="13"/>
      <c r="CF338" s="13"/>
      <c r="CG338" s="13"/>
      <c r="CH338" s="13"/>
      <c r="CI338" s="13"/>
      <c r="CJ338" s="13"/>
      <c r="CK338" s="13"/>
      <c r="CL338" s="13"/>
      <c r="CM338" s="13"/>
      <c r="CN338" s="13"/>
      <c r="CO338" s="13"/>
      <c r="CP338" s="13"/>
      <c r="CQ338" s="13"/>
      <c r="CR338" s="13"/>
      <c r="CS338" s="13"/>
      <c r="CT338" s="13"/>
      <c r="CU338" s="13"/>
      <c r="CV338" s="13"/>
      <c r="CW338" s="13"/>
      <c r="CX338" s="13"/>
      <c r="CY338" s="13"/>
      <c r="CZ338" s="13"/>
      <c r="DA338" s="13"/>
      <c r="DB338" s="13"/>
      <c r="DC338" s="13"/>
      <c r="DD338" s="13"/>
      <c r="DE338" s="13"/>
      <c r="DF338" s="13"/>
      <c r="DG338" s="13"/>
      <c r="DH338" s="13"/>
      <c r="DI338" s="13"/>
      <c r="DJ338" s="13"/>
      <c r="DK338" s="13"/>
      <c r="DL338" s="13"/>
      <c r="DM338" s="13"/>
      <c r="DN338" s="13"/>
      <c r="DO338" s="13"/>
      <c r="DP338" s="13"/>
      <c r="DQ338" s="13"/>
      <c r="DR338" s="13"/>
      <c r="DS338" s="13"/>
      <c r="DT338" s="13"/>
      <c r="DU338" s="13"/>
      <c r="DV338" s="13"/>
      <c r="DW338" s="13"/>
      <c r="DX338" s="13"/>
      <c r="DY338" s="13"/>
      <c r="DZ338" s="13"/>
      <c r="EA338" s="13"/>
      <c r="EB338" s="13"/>
      <c r="EC338" s="13"/>
      <c r="ED338" s="13"/>
      <c r="EE338" s="13"/>
      <c r="EF338" s="13"/>
      <c r="EG338" s="13"/>
      <c r="EH338" s="13"/>
      <c r="EI338" s="13"/>
      <c r="EJ338" s="13"/>
      <c r="EK338" s="13"/>
      <c r="EL338" s="13"/>
      <c r="EM338" s="13"/>
      <c r="EN338" s="13"/>
      <c r="EO338" s="13"/>
      <c r="EP338" s="13"/>
      <c r="EQ338" s="13"/>
      <c r="ER338" s="13"/>
      <c r="ES338" s="13"/>
      <c r="ET338" s="13"/>
      <c r="EU338" s="13"/>
      <c r="EV338" s="13"/>
      <c r="EW338" s="13"/>
      <c r="EX338" s="13"/>
      <c r="EY338" s="13"/>
      <c r="EZ338" s="13"/>
      <c r="FA338" s="13"/>
      <c r="FB338" s="13"/>
      <c r="FC338" s="13"/>
      <c r="FD338" s="13"/>
      <c r="FE338" s="13"/>
      <c r="FF338" s="13"/>
      <c r="FG338" s="13"/>
      <c r="FH338" s="13"/>
      <c r="FI338" s="13"/>
      <c r="FJ338" s="13"/>
      <c r="FK338" s="13"/>
      <c r="FL338" s="13"/>
      <c r="FM338" s="13"/>
      <c r="FN338" s="13"/>
      <c r="FO338" s="13"/>
      <c r="FP338" s="13"/>
      <c r="FQ338" s="13"/>
      <c r="FR338" s="13"/>
      <c r="FS338" s="13"/>
      <c r="FT338" s="13"/>
      <c r="FU338" s="13"/>
      <c r="FV338" s="13"/>
      <c r="FW338" s="13"/>
      <c r="FX338" s="13"/>
      <c r="FY338" s="13"/>
      <c r="FZ338" s="13"/>
      <c r="GA338" s="13"/>
      <c r="GB338" s="13"/>
      <c r="GC338" s="13"/>
      <c r="GD338" s="13"/>
      <c r="GE338" s="13"/>
      <c r="GF338" s="13"/>
      <c r="GG338" s="13"/>
      <c r="GH338" s="13"/>
      <c r="GI338" s="13"/>
      <c r="GJ338" s="13"/>
      <c r="GK338" s="13"/>
      <c r="GL338" s="13"/>
      <c r="GM338" s="13"/>
      <c r="GN338" s="13"/>
      <c r="GO338" s="13"/>
      <c r="GP338" s="13"/>
      <c r="GQ338" s="13"/>
      <c r="GR338" s="13"/>
      <c r="GS338" s="13"/>
      <c r="GT338" s="13"/>
      <c r="GU338" s="13"/>
      <c r="GV338" s="13"/>
      <c r="GW338" s="13"/>
      <c r="GX338" s="13"/>
      <c r="GY338" s="13"/>
      <c r="GZ338" s="13"/>
      <c r="HA338" s="13"/>
      <c r="HB338" s="13"/>
      <c r="HC338" s="13"/>
      <c r="HD338" s="13"/>
      <c r="HE338" s="13"/>
      <c r="HF338" s="13"/>
      <c r="HG338" s="13"/>
      <c r="HH338" s="13"/>
      <c r="HI338" s="13"/>
      <c r="HJ338" s="13"/>
      <c r="HK338" s="13"/>
      <c r="HL338" s="13"/>
      <c r="HM338" s="13"/>
      <c r="HN338" s="13"/>
      <c r="HO338" s="13"/>
      <c r="HP338" s="13"/>
      <c r="HQ338" s="13"/>
      <c r="HR338" s="13"/>
      <c r="HS338" s="13"/>
      <c r="HT338" s="13"/>
      <c r="HU338" s="13"/>
      <c r="HV338" s="13"/>
      <c r="HW338" s="13"/>
      <c r="HX338" s="13"/>
      <c r="HY338" s="13"/>
      <c r="HZ338" s="13"/>
      <c r="IA338" s="13"/>
      <c r="IB338" s="13"/>
      <c r="IC338" s="13"/>
      <c r="ID338" s="13"/>
      <c r="IE338" s="13"/>
      <c r="IF338" s="13"/>
      <c r="IG338" s="13"/>
      <c r="IH338" s="13"/>
      <c r="II338" s="13"/>
      <c r="IJ338" s="13"/>
      <c r="IK338" s="13"/>
      <c r="IL338" s="13"/>
      <c r="IM338" s="13"/>
    </row>
    <row r="339" spans="1:247" s="10" customFormat="1" ht="30" x14ac:dyDescent="0.25">
      <c r="A339" s="18">
        <v>1</v>
      </c>
      <c r="B339" s="234" t="s">
        <v>112</v>
      </c>
      <c r="C339" s="331">
        <f t="shared" si="124"/>
        <v>7360</v>
      </c>
      <c r="D339" s="331">
        <f t="shared" si="124"/>
        <v>4906</v>
      </c>
      <c r="E339" s="331">
        <f t="shared" si="124"/>
        <v>3376</v>
      </c>
      <c r="F339" s="331">
        <f t="shared" si="124"/>
        <v>68.813697513249082</v>
      </c>
      <c r="G339" s="520">
        <f t="shared" si="124"/>
        <v>15168.309600000001</v>
      </c>
      <c r="H339" s="520">
        <f t="shared" si="124"/>
        <v>10112.210000000001</v>
      </c>
      <c r="I339" s="520">
        <f t="shared" si="124"/>
        <v>7281.2671299999984</v>
      </c>
      <c r="J339" s="520">
        <f t="shared" si="124"/>
        <v>72.004706488492602</v>
      </c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13"/>
      <c r="BB339" s="13"/>
      <c r="BC339" s="13"/>
      <c r="BD339" s="13"/>
      <c r="BE339" s="13"/>
      <c r="BF339" s="13"/>
      <c r="BG339" s="13"/>
      <c r="BH339" s="13"/>
      <c r="BI339" s="13"/>
      <c r="BJ339" s="13"/>
      <c r="BK339" s="13"/>
      <c r="BL339" s="13"/>
      <c r="BM339" s="13"/>
      <c r="BN339" s="13"/>
      <c r="BO339" s="13"/>
      <c r="BP339" s="13"/>
      <c r="BQ339" s="13"/>
      <c r="BR339" s="13"/>
      <c r="BS339" s="13"/>
      <c r="BT339" s="13"/>
      <c r="BU339" s="13"/>
      <c r="BV339" s="13"/>
      <c r="BW339" s="13"/>
      <c r="BX339" s="13"/>
      <c r="BY339" s="13"/>
      <c r="BZ339" s="13"/>
      <c r="CA339" s="13"/>
      <c r="CB339" s="13"/>
      <c r="CC339" s="13"/>
      <c r="CD339" s="13"/>
      <c r="CE339" s="13"/>
      <c r="CF339" s="13"/>
      <c r="CG339" s="13"/>
      <c r="CH339" s="13"/>
      <c r="CI339" s="13"/>
      <c r="CJ339" s="13"/>
      <c r="CK339" s="13"/>
      <c r="CL339" s="13"/>
      <c r="CM339" s="13"/>
      <c r="CN339" s="13"/>
      <c r="CO339" s="13"/>
      <c r="CP339" s="13"/>
      <c r="CQ339" s="13"/>
      <c r="CR339" s="13"/>
      <c r="CS339" s="13"/>
      <c r="CT339" s="13"/>
      <c r="CU339" s="13"/>
      <c r="CV339" s="13"/>
      <c r="CW339" s="13"/>
      <c r="CX339" s="13"/>
      <c r="CY339" s="13"/>
      <c r="CZ339" s="13"/>
      <c r="DA339" s="13"/>
      <c r="DB339" s="13"/>
      <c r="DC339" s="13"/>
      <c r="DD339" s="13"/>
      <c r="DE339" s="13"/>
      <c r="DF339" s="13"/>
      <c r="DG339" s="13"/>
      <c r="DH339" s="13"/>
      <c r="DI339" s="13"/>
      <c r="DJ339" s="13"/>
      <c r="DK339" s="13"/>
      <c r="DL339" s="13"/>
      <c r="DM339" s="13"/>
      <c r="DN339" s="13"/>
      <c r="DO339" s="13"/>
      <c r="DP339" s="13"/>
      <c r="DQ339" s="13"/>
      <c r="DR339" s="13"/>
      <c r="DS339" s="13"/>
      <c r="DT339" s="13"/>
      <c r="DU339" s="13"/>
      <c r="DV339" s="13"/>
      <c r="DW339" s="13"/>
      <c r="DX339" s="13"/>
      <c r="DY339" s="13"/>
      <c r="DZ339" s="13"/>
      <c r="EA339" s="13"/>
      <c r="EB339" s="13"/>
      <c r="EC339" s="13"/>
      <c r="ED339" s="13"/>
      <c r="EE339" s="13"/>
      <c r="EF339" s="13"/>
      <c r="EG339" s="13"/>
      <c r="EH339" s="13"/>
      <c r="EI339" s="13"/>
      <c r="EJ339" s="13"/>
      <c r="EK339" s="13"/>
      <c r="EL339" s="13"/>
      <c r="EM339" s="13"/>
      <c r="EN339" s="13"/>
      <c r="EO339" s="13"/>
      <c r="EP339" s="13"/>
      <c r="EQ339" s="13"/>
      <c r="ER339" s="13"/>
      <c r="ES339" s="13"/>
      <c r="ET339" s="13"/>
      <c r="EU339" s="13"/>
      <c r="EV339" s="13"/>
      <c r="EW339" s="13"/>
      <c r="EX339" s="13"/>
      <c r="EY339" s="13"/>
      <c r="EZ339" s="13"/>
      <c r="FA339" s="13"/>
      <c r="FB339" s="13"/>
      <c r="FC339" s="13"/>
      <c r="FD339" s="13"/>
      <c r="FE339" s="13"/>
      <c r="FF339" s="13"/>
      <c r="FG339" s="13"/>
      <c r="FH339" s="13"/>
      <c r="FI339" s="13"/>
      <c r="FJ339" s="13"/>
      <c r="FK339" s="13"/>
      <c r="FL339" s="13"/>
      <c r="FM339" s="13"/>
      <c r="FN339" s="13"/>
      <c r="FO339" s="13"/>
      <c r="FP339" s="13"/>
      <c r="FQ339" s="13"/>
      <c r="FR339" s="13"/>
      <c r="FS339" s="13"/>
      <c r="FT339" s="13"/>
      <c r="FU339" s="13"/>
      <c r="FV339" s="13"/>
      <c r="FW339" s="13"/>
      <c r="FX339" s="13"/>
      <c r="FY339" s="13"/>
      <c r="FZ339" s="13"/>
      <c r="GA339" s="13"/>
      <c r="GB339" s="13"/>
      <c r="GC339" s="13"/>
      <c r="GD339" s="13"/>
      <c r="GE339" s="13"/>
      <c r="GF339" s="13"/>
      <c r="GG339" s="13"/>
      <c r="GH339" s="13"/>
      <c r="GI339" s="13"/>
      <c r="GJ339" s="13"/>
      <c r="GK339" s="13"/>
      <c r="GL339" s="13"/>
      <c r="GM339" s="13"/>
      <c r="GN339" s="13"/>
      <c r="GO339" s="13"/>
      <c r="GP339" s="13"/>
      <c r="GQ339" s="13"/>
      <c r="GR339" s="13"/>
      <c r="GS339" s="13"/>
      <c r="GT339" s="13"/>
      <c r="GU339" s="13"/>
      <c r="GV339" s="13"/>
      <c r="GW339" s="13"/>
      <c r="GX339" s="13"/>
      <c r="GY339" s="13"/>
      <c r="GZ339" s="13"/>
      <c r="HA339" s="13"/>
      <c r="HB339" s="13"/>
      <c r="HC339" s="13"/>
      <c r="HD339" s="13"/>
      <c r="HE339" s="13"/>
      <c r="HF339" s="13"/>
      <c r="HG339" s="13"/>
      <c r="HH339" s="13"/>
      <c r="HI339" s="13"/>
      <c r="HJ339" s="13"/>
      <c r="HK339" s="13"/>
      <c r="HL339" s="13"/>
      <c r="HM339" s="13"/>
      <c r="HN339" s="13"/>
      <c r="HO339" s="13"/>
      <c r="HP339" s="13"/>
      <c r="HQ339" s="13"/>
      <c r="HR339" s="13"/>
      <c r="HS339" s="13"/>
      <c r="HT339" s="13"/>
      <c r="HU339" s="13"/>
      <c r="HV339" s="13"/>
      <c r="HW339" s="13"/>
      <c r="HX339" s="13"/>
      <c r="HY339" s="13"/>
      <c r="HZ339" s="13"/>
      <c r="IA339" s="13"/>
      <c r="IB339" s="13"/>
      <c r="IC339" s="13"/>
      <c r="ID339" s="13"/>
      <c r="IE339" s="13"/>
      <c r="IF339" s="13"/>
      <c r="IG339" s="13"/>
      <c r="IH339" s="13"/>
      <c r="II339" s="13"/>
      <c r="IJ339" s="13"/>
      <c r="IK339" s="13"/>
      <c r="IL339" s="13"/>
      <c r="IM339" s="13"/>
    </row>
    <row r="340" spans="1:247" s="10" customFormat="1" ht="30" x14ac:dyDescent="0.25">
      <c r="A340" s="18">
        <v>1</v>
      </c>
      <c r="B340" s="200" t="s">
        <v>108</v>
      </c>
      <c r="C340" s="331">
        <f t="shared" si="124"/>
        <v>2000</v>
      </c>
      <c r="D340" s="331">
        <f t="shared" si="124"/>
        <v>1333</v>
      </c>
      <c r="E340" s="331">
        <f t="shared" si="124"/>
        <v>1134</v>
      </c>
      <c r="F340" s="331">
        <f t="shared" si="124"/>
        <v>85.071267816954247</v>
      </c>
      <c r="G340" s="520">
        <f t="shared" si="124"/>
        <v>4241.0200000000004</v>
      </c>
      <c r="H340" s="520">
        <f t="shared" si="124"/>
        <v>2827.35</v>
      </c>
      <c r="I340" s="520">
        <f t="shared" si="124"/>
        <v>2369.5704699999997</v>
      </c>
      <c r="J340" s="520">
        <f t="shared" si="124"/>
        <v>83.808883583567635</v>
      </c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  <c r="BA340" s="13"/>
      <c r="BB340" s="13"/>
      <c r="BC340" s="13"/>
      <c r="BD340" s="13"/>
      <c r="BE340" s="13"/>
      <c r="BF340" s="13"/>
      <c r="BG340" s="13"/>
      <c r="BH340" s="13"/>
      <c r="BI340" s="13"/>
      <c r="BJ340" s="13"/>
      <c r="BK340" s="13"/>
      <c r="BL340" s="13"/>
      <c r="BM340" s="13"/>
      <c r="BN340" s="13"/>
      <c r="BO340" s="13"/>
      <c r="BP340" s="13"/>
      <c r="BQ340" s="13"/>
      <c r="BR340" s="13"/>
      <c r="BS340" s="13"/>
      <c r="BT340" s="13"/>
      <c r="BU340" s="13"/>
      <c r="BV340" s="13"/>
      <c r="BW340" s="13"/>
      <c r="BX340" s="13"/>
      <c r="BY340" s="13"/>
      <c r="BZ340" s="13"/>
      <c r="CA340" s="13"/>
      <c r="CB340" s="13"/>
      <c r="CC340" s="13"/>
      <c r="CD340" s="13"/>
      <c r="CE340" s="13"/>
      <c r="CF340" s="13"/>
      <c r="CG340" s="13"/>
      <c r="CH340" s="13"/>
      <c r="CI340" s="13"/>
      <c r="CJ340" s="13"/>
      <c r="CK340" s="13"/>
      <c r="CL340" s="13"/>
      <c r="CM340" s="13"/>
      <c r="CN340" s="13"/>
      <c r="CO340" s="13"/>
      <c r="CP340" s="13"/>
      <c r="CQ340" s="13"/>
      <c r="CR340" s="13"/>
      <c r="CS340" s="13"/>
      <c r="CT340" s="13"/>
      <c r="CU340" s="13"/>
      <c r="CV340" s="13"/>
      <c r="CW340" s="13"/>
      <c r="CX340" s="13"/>
      <c r="CY340" s="13"/>
      <c r="CZ340" s="13"/>
      <c r="DA340" s="13"/>
      <c r="DB340" s="13"/>
      <c r="DC340" s="13"/>
      <c r="DD340" s="13"/>
      <c r="DE340" s="13"/>
      <c r="DF340" s="13"/>
      <c r="DG340" s="13"/>
      <c r="DH340" s="13"/>
      <c r="DI340" s="13"/>
      <c r="DJ340" s="13"/>
      <c r="DK340" s="13"/>
      <c r="DL340" s="13"/>
      <c r="DM340" s="13"/>
      <c r="DN340" s="13"/>
      <c r="DO340" s="13"/>
      <c r="DP340" s="13"/>
      <c r="DQ340" s="13"/>
      <c r="DR340" s="13"/>
      <c r="DS340" s="13"/>
      <c r="DT340" s="13"/>
      <c r="DU340" s="13"/>
      <c r="DV340" s="13"/>
      <c r="DW340" s="13"/>
      <c r="DX340" s="13"/>
      <c r="DY340" s="13"/>
      <c r="DZ340" s="13"/>
      <c r="EA340" s="13"/>
      <c r="EB340" s="13"/>
      <c r="EC340" s="13"/>
      <c r="ED340" s="13"/>
      <c r="EE340" s="13"/>
      <c r="EF340" s="13"/>
      <c r="EG340" s="13"/>
      <c r="EH340" s="13"/>
      <c r="EI340" s="13"/>
      <c r="EJ340" s="13"/>
      <c r="EK340" s="13"/>
      <c r="EL340" s="13"/>
      <c r="EM340" s="13"/>
      <c r="EN340" s="13"/>
      <c r="EO340" s="13"/>
      <c r="EP340" s="13"/>
      <c r="EQ340" s="13"/>
      <c r="ER340" s="13"/>
      <c r="ES340" s="13"/>
      <c r="ET340" s="13"/>
      <c r="EU340" s="13"/>
      <c r="EV340" s="13"/>
      <c r="EW340" s="13"/>
      <c r="EX340" s="13"/>
      <c r="EY340" s="13"/>
      <c r="EZ340" s="13"/>
      <c r="FA340" s="13"/>
      <c r="FB340" s="13"/>
      <c r="FC340" s="13"/>
      <c r="FD340" s="13"/>
      <c r="FE340" s="13"/>
      <c r="FF340" s="13"/>
      <c r="FG340" s="13"/>
      <c r="FH340" s="13"/>
      <c r="FI340" s="13"/>
      <c r="FJ340" s="13"/>
      <c r="FK340" s="13"/>
      <c r="FL340" s="13"/>
      <c r="FM340" s="13"/>
      <c r="FN340" s="13"/>
      <c r="FO340" s="13"/>
      <c r="FP340" s="13"/>
      <c r="FQ340" s="13"/>
      <c r="FR340" s="13"/>
      <c r="FS340" s="13"/>
      <c r="FT340" s="13"/>
      <c r="FU340" s="13"/>
      <c r="FV340" s="13"/>
      <c r="FW340" s="13"/>
      <c r="FX340" s="13"/>
      <c r="FY340" s="13"/>
      <c r="FZ340" s="13"/>
      <c r="GA340" s="13"/>
      <c r="GB340" s="13"/>
      <c r="GC340" s="13"/>
      <c r="GD340" s="13"/>
      <c r="GE340" s="13"/>
      <c r="GF340" s="13"/>
      <c r="GG340" s="13"/>
      <c r="GH340" s="13"/>
      <c r="GI340" s="13"/>
      <c r="GJ340" s="13"/>
      <c r="GK340" s="13"/>
      <c r="GL340" s="13"/>
      <c r="GM340" s="13"/>
      <c r="GN340" s="13"/>
      <c r="GO340" s="13"/>
      <c r="GP340" s="13"/>
      <c r="GQ340" s="13"/>
      <c r="GR340" s="13"/>
      <c r="GS340" s="13"/>
      <c r="GT340" s="13"/>
      <c r="GU340" s="13"/>
      <c r="GV340" s="13"/>
      <c r="GW340" s="13"/>
      <c r="GX340" s="13"/>
      <c r="GY340" s="13"/>
      <c r="GZ340" s="13"/>
      <c r="HA340" s="13"/>
      <c r="HB340" s="13"/>
      <c r="HC340" s="13"/>
      <c r="HD340" s="13"/>
      <c r="HE340" s="13"/>
      <c r="HF340" s="13"/>
      <c r="HG340" s="13"/>
      <c r="HH340" s="13"/>
      <c r="HI340" s="13"/>
      <c r="HJ340" s="13"/>
      <c r="HK340" s="13"/>
      <c r="HL340" s="13"/>
      <c r="HM340" s="13"/>
      <c r="HN340" s="13"/>
      <c r="HO340" s="13"/>
      <c r="HP340" s="13"/>
      <c r="HQ340" s="13"/>
      <c r="HR340" s="13"/>
      <c r="HS340" s="13"/>
      <c r="HT340" s="13"/>
      <c r="HU340" s="13"/>
      <c r="HV340" s="13"/>
      <c r="HW340" s="13"/>
      <c r="HX340" s="13"/>
      <c r="HY340" s="13"/>
      <c r="HZ340" s="13"/>
      <c r="IA340" s="13"/>
      <c r="IB340" s="13"/>
      <c r="IC340" s="13"/>
      <c r="ID340" s="13"/>
      <c r="IE340" s="13"/>
      <c r="IF340" s="13"/>
      <c r="IG340" s="13"/>
      <c r="IH340" s="13"/>
      <c r="II340" s="13"/>
      <c r="IJ340" s="13"/>
      <c r="IK340" s="13"/>
      <c r="IL340" s="13"/>
      <c r="IM340" s="13"/>
    </row>
    <row r="341" spans="1:247" s="10" customFormat="1" ht="60" x14ac:dyDescent="0.25">
      <c r="A341" s="18">
        <v>1</v>
      </c>
      <c r="B341" s="200" t="s">
        <v>81</v>
      </c>
      <c r="C341" s="331">
        <f t="shared" si="124"/>
        <v>3200</v>
      </c>
      <c r="D341" s="331">
        <f t="shared" si="124"/>
        <v>2133</v>
      </c>
      <c r="E341" s="331">
        <f t="shared" si="124"/>
        <v>1517</v>
      </c>
      <c r="F341" s="331">
        <f t="shared" si="124"/>
        <v>71.120487576183777</v>
      </c>
      <c r="G341" s="520">
        <f t="shared" si="124"/>
        <v>8810.1440000000002</v>
      </c>
      <c r="H341" s="520">
        <f t="shared" si="124"/>
        <v>5873.43</v>
      </c>
      <c r="I341" s="520">
        <f t="shared" si="124"/>
        <v>4155.8159499999992</v>
      </c>
      <c r="J341" s="520">
        <f t="shared" si="124"/>
        <v>70.756201231648276</v>
      </c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  <c r="DU341" s="13"/>
      <c r="DV341" s="13"/>
      <c r="DW341" s="13"/>
      <c r="DX341" s="13"/>
      <c r="DY341" s="13"/>
      <c r="DZ341" s="13"/>
      <c r="EA341" s="13"/>
      <c r="EB341" s="13"/>
      <c r="EC341" s="13"/>
      <c r="ED341" s="13"/>
      <c r="EE341" s="13"/>
      <c r="EF341" s="13"/>
      <c r="EG341" s="13"/>
      <c r="EH341" s="13"/>
      <c r="EI341" s="13"/>
      <c r="EJ341" s="13"/>
      <c r="EK341" s="13"/>
      <c r="EL341" s="13"/>
      <c r="EM341" s="13"/>
      <c r="EN341" s="13"/>
      <c r="EO341" s="13"/>
      <c r="EP341" s="13"/>
      <c r="EQ341" s="13"/>
      <c r="ER341" s="13"/>
      <c r="ES341" s="13"/>
      <c r="ET341" s="13"/>
      <c r="EU341" s="13"/>
      <c r="EV341" s="13"/>
      <c r="EW341" s="13"/>
      <c r="EX341" s="13"/>
      <c r="EY341" s="13"/>
      <c r="EZ341" s="13"/>
      <c r="FA341" s="13"/>
      <c r="FB341" s="13"/>
      <c r="FC341" s="13"/>
      <c r="FD341" s="13"/>
      <c r="FE341" s="13"/>
      <c r="FF341" s="13"/>
      <c r="FG341" s="13"/>
      <c r="FH341" s="13"/>
      <c r="FI341" s="13"/>
      <c r="FJ341" s="13"/>
      <c r="FK341" s="13"/>
      <c r="FL341" s="13"/>
      <c r="FM341" s="13"/>
      <c r="FN341" s="13"/>
      <c r="FO341" s="13"/>
      <c r="FP341" s="13"/>
      <c r="FQ341" s="13"/>
      <c r="FR341" s="13"/>
      <c r="FS341" s="13"/>
      <c r="FT341" s="13"/>
      <c r="FU341" s="13"/>
      <c r="FV341" s="13"/>
      <c r="FW341" s="13"/>
      <c r="FX341" s="13"/>
      <c r="FY341" s="13"/>
      <c r="FZ341" s="13"/>
      <c r="GA341" s="13"/>
      <c r="GB341" s="13"/>
      <c r="GC341" s="13"/>
      <c r="GD341" s="13"/>
      <c r="GE341" s="13"/>
      <c r="GF341" s="13"/>
      <c r="GG341" s="13"/>
      <c r="GH341" s="13"/>
      <c r="GI341" s="13"/>
      <c r="GJ341" s="13"/>
      <c r="GK341" s="13"/>
      <c r="GL341" s="13"/>
      <c r="GM341" s="13"/>
      <c r="GN341" s="13"/>
      <c r="GO341" s="13"/>
      <c r="GP341" s="13"/>
      <c r="GQ341" s="13"/>
      <c r="GR341" s="13"/>
      <c r="GS341" s="13"/>
      <c r="GT341" s="13"/>
      <c r="GU341" s="13"/>
      <c r="GV341" s="13"/>
      <c r="GW341" s="13"/>
      <c r="GX341" s="13"/>
      <c r="GY341" s="13"/>
      <c r="GZ341" s="13"/>
      <c r="HA341" s="13"/>
      <c r="HB341" s="13"/>
      <c r="HC341" s="13"/>
      <c r="HD341" s="13"/>
      <c r="HE341" s="13"/>
      <c r="HF341" s="13"/>
      <c r="HG341" s="13"/>
      <c r="HH341" s="13"/>
      <c r="HI341" s="13"/>
      <c r="HJ341" s="13"/>
      <c r="HK341" s="13"/>
      <c r="HL341" s="13"/>
      <c r="HM341" s="13"/>
      <c r="HN341" s="13"/>
      <c r="HO341" s="13"/>
      <c r="HP341" s="13"/>
      <c r="HQ341" s="13"/>
      <c r="HR341" s="13"/>
      <c r="HS341" s="13"/>
      <c r="HT341" s="13"/>
      <c r="HU341" s="13"/>
      <c r="HV341" s="13"/>
      <c r="HW341" s="13"/>
      <c r="HX341" s="13"/>
      <c r="HY341" s="13"/>
      <c r="HZ341" s="13"/>
      <c r="IA341" s="13"/>
      <c r="IB341" s="13"/>
      <c r="IC341" s="13"/>
      <c r="ID341" s="13"/>
      <c r="IE341" s="13"/>
      <c r="IF341" s="13"/>
      <c r="IG341" s="13"/>
      <c r="IH341" s="13"/>
      <c r="II341" s="13"/>
      <c r="IJ341" s="13"/>
      <c r="IK341" s="13"/>
      <c r="IL341" s="13"/>
      <c r="IM341" s="13"/>
    </row>
    <row r="342" spans="1:247" s="10" customFormat="1" ht="45" x14ac:dyDescent="0.25">
      <c r="A342" s="18">
        <v>1</v>
      </c>
      <c r="B342" s="200" t="s">
        <v>109</v>
      </c>
      <c r="C342" s="331">
        <f t="shared" si="124"/>
        <v>2160</v>
      </c>
      <c r="D342" s="331">
        <f t="shared" si="124"/>
        <v>1440</v>
      </c>
      <c r="E342" s="331">
        <f t="shared" si="124"/>
        <v>725</v>
      </c>
      <c r="F342" s="331">
        <f t="shared" si="124"/>
        <v>50.347222222222221</v>
      </c>
      <c r="G342" s="520">
        <f t="shared" si="124"/>
        <v>2117.1456000000003</v>
      </c>
      <c r="H342" s="520">
        <f t="shared" si="124"/>
        <v>1411.43</v>
      </c>
      <c r="I342" s="520">
        <f t="shared" si="124"/>
        <v>755.88070999999991</v>
      </c>
      <c r="J342" s="520">
        <f t="shared" si="124"/>
        <v>53.554247111085907</v>
      </c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  <c r="DU342" s="13"/>
      <c r="DV342" s="13"/>
      <c r="DW342" s="13"/>
      <c r="DX342" s="13"/>
      <c r="DY342" s="13"/>
      <c r="DZ342" s="13"/>
      <c r="EA342" s="13"/>
      <c r="EB342" s="13"/>
      <c r="EC342" s="13"/>
      <c r="ED342" s="13"/>
      <c r="EE342" s="13"/>
      <c r="EF342" s="13"/>
      <c r="EG342" s="13"/>
      <c r="EH342" s="13"/>
      <c r="EI342" s="13"/>
      <c r="EJ342" s="13"/>
      <c r="EK342" s="13"/>
      <c r="EL342" s="13"/>
      <c r="EM342" s="13"/>
      <c r="EN342" s="13"/>
      <c r="EO342" s="13"/>
      <c r="EP342" s="13"/>
      <c r="EQ342" s="13"/>
      <c r="ER342" s="13"/>
      <c r="ES342" s="13"/>
      <c r="ET342" s="13"/>
      <c r="EU342" s="13"/>
      <c r="EV342" s="13"/>
      <c r="EW342" s="13"/>
      <c r="EX342" s="13"/>
      <c r="EY342" s="13"/>
      <c r="EZ342" s="13"/>
      <c r="FA342" s="13"/>
      <c r="FB342" s="13"/>
      <c r="FC342" s="13"/>
      <c r="FD342" s="13"/>
      <c r="FE342" s="13"/>
      <c r="FF342" s="13"/>
      <c r="FG342" s="13"/>
      <c r="FH342" s="13"/>
      <c r="FI342" s="13"/>
      <c r="FJ342" s="13"/>
      <c r="FK342" s="13"/>
      <c r="FL342" s="13"/>
      <c r="FM342" s="13"/>
      <c r="FN342" s="13"/>
      <c r="FO342" s="13"/>
      <c r="FP342" s="13"/>
      <c r="FQ342" s="13"/>
      <c r="FR342" s="13"/>
      <c r="FS342" s="13"/>
      <c r="FT342" s="13"/>
      <c r="FU342" s="13"/>
      <c r="FV342" s="13"/>
      <c r="FW342" s="13"/>
      <c r="FX342" s="13"/>
      <c r="FY342" s="13"/>
      <c r="FZ342" s="13"/>
      <c r="GA342" s="13"/>
      <c r="GB342" s="13"/>
      <c r="GC342" s="13"/>
      <c r="GD342" s="13"/>
      <c r="GE342" s="13"/>
      <c r="GF342" s="13"/>
      <c r="GG342" s="13"/>
      <c r="GH342" s="13"/>
      <c r="GI342" s="13"/>
      <c r="GJ342" s="13"/>
      <c r="GK342" s="13"/>
      <c r="GL342" s="13"/>
      <c r="GM342" s="13"/>
      <c r="GN342" s="13"/>
      <c r="GO342" s="13"/>
      <c r="GP342" s="13"/>
      <c r="GQ342" s="13"/>
      <c r="GR342" s="13"/>
      <c r="GS342" s="13"/>
      <c r="GT342" s="13"/>
      <c r="GU342" s="13"/>
      <c r="GV342" s="13"/>
      <c r="GW342" s="13"/>
      <c r="GX342" s="13"/>
      <c r="GY342" s="13"/>
      <c r="GZ342" s="13"/>
      <c r="HA342" s="13"/>
      <c r="HB342" s="13"/>
      <c r="HC342" s="13"/>
      <c r="HD342" s="13"/>
      <c r="HE342" s="13"/>
      <c r="HF342" s="13"/>
      <c r="HG342" s="13"/>
      <c r="HH342" s="13"/>
      <c r="HI342" s="13"/>
      <c r="HJ342" s="13"/>
      <c r="HK342" s="13"/>
      <c r="HL342" s="13"/>
      <c r="HM342" s="13"/>
      <c r="HN342" s="13"/>
      <c r="HO342" s="13"/>
      <c r="HP342" s="13"/>
      <c r="HQ342" s="13"/>
      <c r="HR342" s="13"/>
      <c r="HS342" s="13"/>
      <c r="HT342" s="13"/>
      <c r="HU342" s="13"/>
      <c r="HV342" s="13"/>
      <c r="HW342" s="13"/>
      <c r="HX342" s="13"/>
      <c r="HY342" s="13"/>
      <c r="HZ342" s="13"/>
      <c r="IA342" s="13"/>
      <c r="IB342" s="13"/>
      <c r="IC342" s="13"/>
      <c r="ID342" s="13"/>
      <c r="IE342" s="13"/>
      <c r="IF342" s="13"/>
      <c r="IG342" s="13"/>
      <c r="IH342" s="13"/>
      <c r="II342" s="13"/>
      <c r="IJ342" s="13"/>
      <c r="IK342" s="13"/>
      <c r="IL342" s="13"/>
      <c r="IM342" s="13"/>
    </row>
    <row r="343" spans="1:247" s="10" customFormat="1" ht="30.75" thickBot="1" x14ac:dyDescent="0.3">
      <c r="A343" s="18"/>
      <c r="B343" s="705" t="s">
        <v>123</v>
      </c>
      <c r="C343" s="706">
        <f t="shared" ref="C343:J343" si="125">SUM(C331)</f>
        <v>12300</v>
      </c>
      <c r="D343" s="706">
        <f t="shared" si="125"/>
        <v>8200</v>
      </c>
      <c r="E343" s="706">
        <f t="shared" si="125"/>
        <v>9147</v>
      </c>
      <c r="F343" s="706">
        <f t="shared" si="125"/>
        <v>111.54878048780488</v>
      </c>
      <c r="G343" s="706">
        <f t="shared" si="125"/>
        <v>11970.606</v>
      </c>
      <c r="H343" s="706">
        <f t="shared" si="125"/>
        <v>7980.4</v>
      </c>
      <c r="I343" s="706">
        <f t="shared" si="125"/>
        <v>8898.6920800000007</v>
      </c>
      <c r="J343" s="331">
        <f t="shared" si="125"/>
        <v>111.50684276477372</v>
      </c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  <c r="DU343" s="13"/>
      <c r="DV343" s="13"/>
      <c r="DW343" s="13"/>
      <c r="DX343" s="13"/>
      <c r="DY343" s="13"/>
      <c r="DZ343" s="13"/>
      <c r="EA343" s="13"/>
      <c r="EB343" s="13"/>
      <c r="EC343" s="13"/>
      <c r="ED343" s="13"/>
      <c r="EE343" s="13"/>
      <c r="EF343" s="13"/>
      <c r="EG343" s="13"/>
      <c r="EH343" s="13"/>
      <c r="EI343" s="13"/>
      <c r="EJ343" s="13"/>
      <c r="EK343" s="13"/>
      <c r="EL343" s="13"/>
      <c r="EM343" s="13"/>
      <c r="EN343" s="13"/>
      <c r="EO343" s="13"/>
      <c r="EP343" s="13"/>
      <c r="EQ343" s="13"/>
      <c r="ER343" s="13"/>
      <c r="ES343" s="13"/>
      <c r="ET343" s="13"/>
      <c r="EU343" s="13"/>
      <c r="EV343" s="13"/>
      <c r="EW343" s="13"/>
      <c r="EX343" s="13"/>
      <c r="EY343" s="13"/>
      <c r="EZ343" s="13"/>
      <c r="FA343" s="13"/>
      <c r="FB343" s="13"/>
      <c r="FC343" s="13"/>
      <c r="FD343" s="13"/>
      <c r="FE343" s="13"/>
      <c r="FF343" s="13"/>
      <c r="FG343" s="13"/>
      <c r="FH343" s="13"/>
      <c r="FI343" s="13"/>
      <c r="FJ343" s="13"/>
      <c r="FK343" s="13"/>
      <c r="FL343" s="13"/>
      <c r="FM343" s="13"/>
      <c r="FN343" s="13"/>
      <c r="FO343" s="13"/>
      <c r="FP343" s="13"/>
      <c r="FQ343" s="13"/>
      <c r="FR343" s="13"/>
      <c r="FS343" s="13"/>
      <c r="FT343" s="13"/>
      <c r="FU343" s="13"/>
      <c r="FV343" s="13"/>
      <c r="FW343" s="13"/>
      <c r="FX343" s="13"/>
      <c r="FY343" s="13"/>
      <c r="FZ343" s="13"/>
      <c r="GA343" s="13"/>
      <c r="GB343" s="13"/>
      <c r="GC343" s="13"/>
      <c r="GD343" s="13"/>
      <c r="GE343" s="13"/>
      <c r="GF343" s="13"/>
      <c r="GG343" s="13"/>
      <c r="GH343" s="13"/>
      <c r="GI343" s="13"/>
      <c r="GJ343" s="13"/>
      <c r="GK343" s="13"/>
      <c r="GL343" s="13"/>
      <c r="GM343" s="13"/>
      <c r="GN343" s="13"/>
      <c r="GO343" s="13"/>
      <c r="GP343" s="13"/>
      <c r="GQ343" s="13"/>
      <c r="GR343" s="13"/>
      <c r="GS343" s="13"/>
      <c r="GT343" s="13"/>
      <c r="GU343" s="13"/>
      <c r="GV343" s="13"/>
      <c r="GW343" s="13"/>
      <c r="GX343" s="13"/>
      <c r="GY343" s="13"/>
      <c r="GZ343" s="13"/>
      <c r="HA343" s="13"/>
      <c r="HB343" s="13"/>
      <c r="HC343" s="13"/>
      <c r="HD343" s="13"/>
      <c r="HE343" s="13"/>
      <c r="HF343" s="13"/>
      <c r="HG343" s="13"/>
      <c r="HH343" s="13"/>
      <c r="HI343" s="13"/>
      <c r="HJ343" s="13"/>
      <c r="HK343" s="13"/>
      <c r="HL343" s="13"/>
      <c r="HM343" s="13"/>
      <c r="HN343" s="13"/>
      <c r="HO343" s="13"/>
      <c r="HP343" s="13"/>
      <c r="HQ343" s="13"/>
      <c r="HR343" s="13"/>
      <c r="HS343" s="13"/>
      <c r="HT343" s="13"/>
      <c r="HU343" s="13"/>
      <c r="HV343" s="13"/>
      <c r="HW343" s="13"/>
      <c r="HX343" s="13"/>
      <c r="HY343" s="13"/>
      <c r="HZ343" s="13"/>
      <c r="IA343" s="13"/>
      <c r="IB343" s="13"/>
      <c r="IC343" s="13"/>
      <c r="ID343" s="13"/>
      <c r="IE343" s="13"/>
      <c r="IF343" s="13"/>
      <c r="IG343" s="13"/>
      <c r="IH343" s="13"/>
      <c r="II343" s="13"/>
      <c r="IJ343" s="13"/>
      <c r="IK343" s="13"/>
      <c r="IL343" s="13"/>
      <c r="IM343" s="13"/>
    </row>
    <row r="344" spans="1:247" ht="15" customHeight="1" thickBot="1" x14ac:dyDescent="0.3">
      <c r="A344" s="18">
        <v>1</v>
      </c>
      <c r="B344" s="707" t="s">
        <v>4</v>
      </c>
      <c r="C344" s="708">
        <f t="shared" ref="C344:J344" si="126">C332</f>
        <v>0</v>
      </c>
      <c r="D344" s="708">
        <f t="shared" si="126"/>
        <v>0</v>
      </c>
      <c r="E344" s="708">
        <f t="shared" si="126"/>
        <v>0</v>
      </c>
      <c r="F344" s="708">
        <f t="shared" si="126"/>
        <v>0</v>
      </c>
      <c r="G344" s="709">
        <f t="shared" si="126"/>
        <v>33454.009270000002</v>
      </c>
      <c r="H344" s="709">
        <f t="shared" si="126"/>
        <v>22302.67</v>
      </c>
      <c r="I344" s="709">
        <f t="shared" si="126"/>
        <v>21865.979039999998</v>
      </c>
      <c r="J344" s="487">
        <f t="shared" si="126"/>
        <v>98.041979009688077</v>
      </c>
    </row>
    <row r="345" spans="1:247" ht="15" customHeight="1" x14ac:dyDescent="0.25">
      <c r="A345" s="18">
        <v>1</v>
      </c>
      <c r="B345" s="85" t="s">
        <v>15</v>
      </c>
      <c r="C345" s="5"/>
      <c r="D345" s="5"/>
      <c r="E345" s="167"/>
      <c r="F345" s="5"/>
      <c r="G345" s="502"/>
      <c r="H345" s="502"/>
      <c r="I345" s="503"/>
      <c r="J345" s="502"/>
    </row>
    <row r="346" spans="1:247" ht="29.25" x14ac:dyDescent="0.25">
      <c r="A346" s="18">
        <v>1</v>
      </c>
      <c r="B346" s="73" t="s">
        <v>55</v>
      </c>
      <c r="C346" s="124"/>
      <c r="D346" s="124"/>
      <c r="E346" s="124"/>
      <c r="F346" s="124"/>
      <c r="G346" s="458"/>
      <c r="H346" s="458"/>
      <c r="I346" s="458"/>
      <c r="J346" s="458"/>
    </row>
    <row r="347" spans="1:247" s="35" customFormat="1" ht="30" x14ac:dyDescent="0.25">
      <c r="A347" s="18">
        <v>1</v>
      </c>
      <c r="B347" s="72" t="s">
        <v>120</v>
      </c>
      <c r="C347" s="113">
        <f>SUM(C348:C351)</f>
        <v>400</v>
      </c>
      <c r="D347" s="113">
        <f>SUM(D348:D351)</f>
        <v>266</v>
      </c>
      <c r="E347" s="113">
        <f>SUM(E348:E351)</f>
        <v>215</v>
      </c>
      <c r="F347" s="113">
        <f>E347/D347*100</f>
        <v>80.827067669172934</v>
      </c>
      <c r="G347" s="465">
        <f>SUM(G348:G351)</f>
        <v>794.96517999999992</v>
      </c>
      <c r="H347" s="465">
        <f>SUM(H348:H351)</f>
        <v>529.97</v>
      </c>
      <c r="I347" s="465">
        <f>SUM(I348:I351)</f>
        <v>383.36661000000004</v>
      </c>
      <c r="J347" s="465">
        <f t="shared" ref="J347:J367" si="127">I347/H347*100</f>
        <v>72.337417212295037</v>
      </c>
    </row>
    <row r="348" spans="1:247" s="35" customFormat="1" ht="30" x14ac:dyDescent="0.25">
      <c r="A348" s="18">
        <v>1</v>
      </c>
      <c r="B348" s="71" t="s">
        <v>79</v>
      </c>
      <c r="C348" s="113">
        <v>278</v>
      </c>
      <c r="D348" s="107">
        <f t="shared" ref="D348:D355" si="128">ROUND(C348/12*$B$3,0)</f>
        <v>185</v>
      </c>
      <c r="E348" s="113">
        <v>200</v>
      </c>
      <c r="F348" s="113">
        <f>E348/D348*100</f>
        <v>108.10810810810811</v>
      </c>
      <c r="G348" s="465">
        <v>422.80919999999998</v>
      </c>
      <c r="H348" s="638">
        <f t="shared" ref="H348:H351" si="129">ROUND(G348/12*$B$3,2)</f>
        <v>281.87</v>
      </c>
      <c r="I348" s="465">
        <v>302.78426000000002</v>
      </c>
      <c r="J348" s="465">
        <f t="shared" si="127"/>
        <v>107.4198247419023</v>
      </c>
    </row>
    <row r="349" spans="1:247" s="35" customFormat="1" ht="30" x14ac:dyDescent="0.25">
      <c r="A349" s="18">
        <v>1</v>
      </c>
      <c r="B349" s="71" t="s">
        <v>80</v>
      </c>
      <c r="C349" s="113">
        <v>83</v>
      </c>
      <c r="D349" s="107">
        <f t="shared" si="128"/>
        <v>55</v>
      </c>
      <c r="E349" s="113">
        <v>1</v>
      </c>
      <c r="F349" s="113">
        <f>E349/D349*100</f>
        <v>1.8181818181818181</v>
      </c>
      <c r="G349" s="465">
        <v>116.23486</v>
      </c>
      <c r="H349" s="638">
        <f t="shared" si="129"/>
        <v>77.489999999999995</v>
      </c>
      <c r="I349" s="465">
        <v>-11.286770000000001</v>
      </c>
      <c r="J349" s="465">
        <f t="shared" si="127"/>
        <v>-14.565453606917023</v>
      </c>
    </row>
    <row r="350" spans="1:247" s="35" customFormat="1" ht="45" x14ac:dyDescent="0.25">
      <c r="A350" s="18">
        <v>1</v>
      </c>
      <c r="B350" s="71" t="s">
        <v>114</v>
      </c>
      <c r="C350" s="113"/>
      <c r="D350" s="107">
        <f t="shared" si="128"/>
        <v>0</v>
      </c>
      <c r="E350" s="113"/>
      <c r="F350" s="113"/>
      <c r="G350" s="470"/>
      <c r="H350" s="638">
        <f t="shared" si="129"/>
        <v>0</v>
      </c>
      <c r="I350" s="465"/>
      <c r="J350" s="465"/>
    </row>
    <row r="351" spans="1:247" s="35" customFormat="1" ht="30" x14ac:dyDescent="0.25">
      <c r="A351" s="18">
        <v>1</v>
      </c>
      <c r="B351" s="71" t="s">
        <v>115</v>
      </c>
      <c r="C351" s="113">
        <v>39</v>
      </c>
      <c r="D351" s="107">
        <f t="shared" si="128"/>
        <v>26</v>
      </c>
      <c r="E351" s="113">
        <v>14</v>
      </c>
      <c r="F351" s="113">
        <f t="shared" ref="F351:F355" si="130">E351/D351*100</f>
        <v>53.846153846153847</v>
      </c>
      <c r="G351" s="465">
        <v>255.92112</v>
      </c>
      <c r="H351" s="638">
        <f t="shared" si="129"/>
        <v>170.61</v>
      </c>
      <c r="I351" s="465">
        <v>91.869119999999995</v>
      </c>
      <c r="J351" s="465">
        <f t="shared" si="127"/>
        <v>53.847441533321607</v>
      </c>
    </row>
    <row r="352" spans="1:247" s="35" customFormat="1" ht="30" x14ac:dyDescent="0.25">
      <c r="A352" s="18">
        <v>1</v>
      </c>
      <c r="B352" s="72" t="s">
        <v>112</v>
      </c>
      <c r="C352" s="113">
        <f>SUM(C353:C355)</f>
        <v>723</v>
      </c>
      <c r="D352" s="113">
        <f>SUM(D353:D355)</f>
        <v>481</v>
      </c>
      <c r="E352" s="113">
        <f>SUM(E353:E355)</f>
        <v>288</v>
      </c>
      <c r="F352" s="113">
        <f t="shared" si="130"/>
        <v>59.875259875259879</v>
      </c>
      <c r="G352" s="458">
        <f>SUM(G353:G355)</f>
        <v>1484.9919300000001</v>
      </c>
      <c r="H352" s="458">
        <f>SUM(H353:H355)</f>
        <v>989.9899999999999</v>
      </c>
      <c r="I352" s="458">
        <f>SUM(I353:I355)</f>
        <v>747.00786000000016</v>
      </c>
      <c r="J352" s="465">
        <f t="shared" si="127"/>
        <v>75.456101576783624</v>
      </c>
    </row>
    <row r="353" spans="1:247" s="35" customFormat="1" ht="30" x14ac:dyDescent="0.25">
      <c r="A353" s="18">
        <v>1</v>
      </c>
      <c r="B353" s="71" t="s">
        <v>108</v>
      </c>
      <c r="C353" s="113">
        <v>20</v>
      </c>
      <c r="D353" s="107">
        <f t="shared" si="128"/>
        <v>13</v>
      </c>
      <c r="E353" s="113">
        <v>0</v>
      </c>
      <c r="F353" s="113">
        <f t="shared" si="130"/>
        <v>0</v>
      </c>
      <c r="G353" s="465">
        <v>42.410199999999996</v>
      </c>
      <c r="H353" s="638">
        <f t="shared" ref="H353:H356" si="131">ROUND(G353/12*$B$3,2)</f>
        <v>28.27</v>
      </c>
      <c r="I353" s="465"/>
      <c r="J353" s="465">
        <f t="shared" si="127"/>
        <v>0</v>
      </c>
    </row>
    <row r="354" spans="1:247" s="35" customFormat="1" ht="58.5" customHeight="1" x14ac:dyDescent="0.25">
      <c r="A354" s="18">
        <v>1</v>
      </c>
      <c r="B354" s="71" t="s">
        <v>119</v>
      </c>
      <c r="C354" s="113">
        <v>425</v>
      </c>
      <c r="D354" s="107">
        <f t="shared" si="128"/>
        <v>283</v>
      </c>
      <c r="E354" s="113">
        <v>258</v>
      </c>
      <c r="F354" s="113">
        <f t="shared" si="130"/>
        <v>91.166077738515909</v>
      </c>
      <c r="G354" s="465">
        <v>1170.09725</v>
      </c>
      <c r="H354" s="638">
        <f t="shared" si="131"/>
        <v>780.06</v>
      </c>
      <c r="I354" s="465">
        <v>710.22150000000011</v>
      </c>
      <c r="J354" s="465">
        <f t="shared" si="127"/>
        <v>91.047034843473597</v>
      </c>
    </row>
    <row r="355" spans="1:247" s="35" customFormat="1" ht="45" x14ac:dyDescent="0.25">
      <c r="A355" s="18">
        <v>1</v>
      </c>
      <c r="B355" s="71" t="s">
        <v>109</v>
      </c>
      <c r="C355" s="113">
        <v>278</v>
      </c>
      <c r="D355" s="107">
        <f t="shared" si="128"/>
        <v>185</v>
      </c>
      <c r="E355" s="113">
        <v>30</v>
      </c>
      <c r="F355" s="113">
        <f t="shared" si="130"/>
        <v>16.216216216216218</v>
      </c>
      <c r="G355" s="465">
        <v>272.48447999999996</v>
      </c>
      <c r="H355" s="638">
        <f t="shared" si="131"/>
        <v>181.66</v>
      </c>
      <c r="I355" s="465">
        <v>36.786360000000002</v>
      </c>
      <c r="J355" s="465">
        <f t="shared" si="127"/>
        <v>20.250115600572499</v>
      </c>
    </row>
    <row r="356" spans="1:247" s="35" customFormat="1" ht="30.75" thickBot="1" x14ac:dyDescent="0.3">
      <c r="A356" s="18"/>
      <c r="B356" s="658" t="s">
        <v>123</v>
      </c>
      <c r="C356" s="174">
        <v>990</v>
      </c>
      <c r="D356" s="300">
        <f>ROUND(C356/12*$B$3,0)</f>
        <v>660</v>
      </c>
      <c r="E356" s="174">
        <v>580</v>
      </c>
      <c r="F356" s="174">
        <f>E356/D356*100</f>
        <v>87.878787878787875</v>
      </c>
      <c r="G356" s="466">
        <v>963.48779999999999</v>
      </c>
      <c r="H356" s="639">
        <f t="shared" si="131"/>
        <v>642.33000000000004</v>
      </c>
      <c r="I356" s="466">
        <v>562.84942000000001</v>
      </c>
      <c r="J356" s="466">
        <f>I356/H356*100</f>
        <v>87.626207712546517</v>
      </c>
    </row>
    <row r="357" spans="1:247" ht="19.5" customHeight="1" thickBot="1" x14ac:dyDescent="0.3">
      <c r="A357" s="18">
        <v>1</v>
      </c>
      <c r="B357" s="111" t="s">
        <v>3</v>
      </c>
      <c r="C357" s="536"/>
      <c r="D357" s="536"/>
      <c r="E357" s="536"/>
      <c r="F357" s="339"/>
      <c r="G357" s="537">
        <f>G352+G347+G356</f>
        <v>3243.4449100000002</v>
      </c>
      <c r="H357" s="537">
        <f>H352+H347+H356</f>
        <v>2162.29</v>
      </c>
      <c r="I357" s="537">
        <f>I352+I347+I356</f>
        <v>1693.2238900000002</v>
      </c>
      <c r="J357" s="471">
        <f t="shared" si="127"/>
        <v>78.306975012602393</v>
      </c>
    </row>
    <row r="358" spans="1:247" ht="29.25" x14ac:dyDescent="0.25">
      <c r="A358" s="18">
        <v>1</v>
      </c>
      <c r="B358" s="272" t="s">
        <v>47</v>
      </c>
      <c r="C358" s="273"/>
      <c r="D358" s="273"/>
      <c r="E358" s="273"/>
      <c r="F358" s="273"/>
      <c r="G358" s="521"/>
      <c r="H358" s="521"/>
      <c r="I358" s="521"/>
      <c r="J358" s="521"/>
    </row>
    <row r="359" spans="1:247" s="10" customFormat="1" ht="48" customHeight="1" x14ac:dyDescent="0.25">
      <c r="A359" s="18">
        <v>1</v>
      </c>
      <c r="B359" s="198" t="s">
        <v>120</v>
      </c>
      <c r="C359" s="332">
        <f t="shared" ref="C359:I369" si="132">C347</f>
        <v>400</v>
      </c>
      <c r="D359" s="332">
        <f t="shared" si="132"/>
        <v>266</v>
      </c>
      <c r="E359" s="332">
        <f t="shared" si="132"/>
        <v>215</v>
      </c>
      <c r="F359" s="332">
        <f t="shared" si="132"/>
        <v>80.827067669172934</v>
      </c>
      <c r="G359" s="522">
        <f t="shared" si="132"/>
        <v>794.96517999999992</v>
      </c>
      <c r="H359" s="522">
        <f t="shared" si="132"/>
        <v>529.97</v>
      </c>
      <c r="I359" s="522">
        <f t="shared" si="132"/>
        <v>383.36661000000004</v>
      </c>
      <c r="J359" s="522">
        <f t="shared" si="127"/>
        <v>72.337417212295037</v>
      </c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3"/>
      <c r="AZ359" s="13"/>
      <c r="BA359" s="13"/>
      <c r="BB359" s="13"/>
      <c r="BC359" s="13"/>
      <c r="BD359" s="13"/>
      <c r="BE359" s="13"/>
      <c r="BF359" s="13"/>
      <c r="BG359" s="13"/>
      <c r="BH359" s="13"/>
      <c r="BI359" s="13"/>
      <c r="BJ359" s="13"/>
      <c r="BK359" s="13"/>
      <c r="BL359" s="13"/>
      <c r="BM359" s="13"/>
      <c r="BN359" s="13"/>
      <c r="BO359" s="13"/>
      <c r="BP359" s="13"/>
      <c r="BQ359" s="13"/>
      <c r="BR359" s="13"/>
      <c r="BS359" s="13"/>
      <c r="BT359" s="13"/>
      <c r="BU359" s="13"/>
      <c r="BV359" s="13"/>
      <c r="BW359" s="13"/>
      <c r="BX359" s="13"/>
      <c r="BY359" s="13"/>
      <c r="BZ359" s="13"/>
      <c r="CA359" s="13"/>
      <c r="CB359" s="13"/>
      <c r="CC359" s="13"/>
      <c r="CD359" s="13"/>
      <c r="CE359" s="13"/>
      <c r="CF359" s="13"/>
      <c r="CG359" s="13"/>
      <c r="CH359" s="13"/>
      <c r="CI359" s="13"/>
      <c r="CJ359" s="13"/>
      <c r="CK359" s="13"/>
      <c r="CL359" s="13"/>
      <c r="CM359" s="13"/>
      <c r="CN359" s="13"/>
      <c r="CO359" s="13"/>
      <c r="CP359" s="13"/>
      <c r="CQ359" s="13"/>
      <c r="CR359" s="13"/>
      <c r="CS359" s="13"/>
      <c r="CT359" s="13"/>
      <c r="CU359" s="13"/>
      <c r="CV359" s="13"/>
      <c r="CW359" s="13"/>
      <c r="CX359" s="13"/>
      <c r="CY359" s="13"/>
      <c r="CZ359" s="13"/>
      <c r="DA359" s="13"/>
      <c r="DB359" s="13"/>
      <c r="DC359" s="13"/>
      <c r="DD359" s="13"/>
      <c r="DE359" s="13"/>
      <c r="DF359" s="13"/>
      <c r="DG359" s="13"/>
      <c r="DH359" s="13"/>
      <c r="DI359" s="13"/>
      <c r="DJ359" s="13"/>
      <c r="DK359" s="13"/>
      <c r="DL359" s="13"/>
      <c r="DM359" s="13"/>
      <c r="DN359" s="13"/>
      <c r="DO359" s="13"/>
      <c r="DP359" s="13"/>
      <c r="DQ359" s="13"/>
      <c r="DR359" s="13"/>
      <c r="DS359" s="13"/>
      <c r="DT359" s="13"/>
      <c r="DU359" s="13"/>
      <c r="DV359" s="13"/>
      <c r="DW359" s="13"/>
      <c r="DX359" s="13"/>
      <c r="DY359" s="13"/>
      <c r="DZ359" s="13"/>
      <c r="EA359" s="13"/>
      <c r="EB359" s="13"/>
      <c r="EC359" s="13"/>
      <c r="ED359" s="13"/>
      <c r="EE359" s="13"/>
      <c r="EF359" s="13"/>
      <c r="EG359" s="13"/>
      <c r="EH359" s="13"/>
      <c r="EI359" s="13"/>
      <c r="EJ359" s="13"/>
      <c r="EK359" s="13"/>
      <c r="EL359" s="13"/>
      <c r="EM359" s="13"/>
      <c r="EN359" s="13"/>
      <c r="EO359" s="13"/>
      <c r="EP359" s="13"/>
      <c r="EQ359" s="13"/>
      <c r="ER359" s="13"/>
      <c r="ES359" s="13"/>
      <c r="ET359" s="13"/>
      <c r="EU359" s="13"/>
      <c r="EV359" s="13"/>
      <c r="EW359" s="13"/>
      <c r="EX359" s="13"/>
      <c r="EY359" s="13"/>
      <c r="EZ359" s="13"/>
      <c r="FA359" s="13"/>
      <c r="FB359" s="13"/>
      <c r="FC359" s="13"/>
      <c r="FD359" s="13"/>
      <c r="FE359" s="13"/>
      <c r="FF359" s="13"/>
      <c r="FG359" s="13"/>
      <c r="FH359" s="13"/>
      <c r="FI359" s="13"/>
      <c r="FJ359" s="13"/>
      <c r="FK359" s="13"/>
      <c r="FL359" s="13"/>
      <c r="FM359" s="13"/>
      <c r="FN359" s="13"/>
      <c r="FO359" s="13"/>
      <c r="FP359" s="13"/>
      <c r="FQ359" s="13"/>
      <c r="FR359" s="13"/>
      <c r="FS359" s="13"/>
      <c r="FT359" s="13"/>
      <c r="FU359" s="13"/>
      <c r="FV359" s="13"/>
      <c r="FW359" s="13"/>
      <c r="FX359" s="13"/>
      <c r="FY359" s="13"/>
      <c r="FZ359" s="13"/>
      <c r="GA359" s="13"/>
      <c r="GB359" s="13"/>
      <c r="GC359" s="13"/>
      <c r="GD359" s="13"/>
      <c r="GE359" s="13"/>
      <c r="GF359" s="13"/>
      <c r="GG359" s="13"/>
      <c r="GH359" s="13"/>
      <c r="GI359" s="13"/>
      <c r="GJ359" s="13"/>
      <c r="GK359" s="13"/>
      <c r="GL359" s="13"/>
      <c r="GM359" s="13"/>
      <c r="GN359" s="13"/>
      <c r="GO359" s="13"/>
      <c r="GP359" s="13"/>
      <c r="GQ359" s="13"/>
      <c r="GR359" s="13"/>
      <c r="GS359" s="13"/>
      <c r="GT359" s="13"/>
      <c r="GU359" s="13"/>
      <c r="GV359" s="13"/>
      <c r="GW359" s="13"/>
      <c r="GX359" s="13"/>
      <c r="GY359" s="13"/>
      <c r="GZ359" s="13"/>
      <c r="HA359" s="13"/>
      <c r="HB359" s="13"/>
      <c r="HC359" s="13"/>
      <c r="HD359" s="13"/>
      <c r="HE359" s="13"/>
      <c r="HF359" s="13"/>
      <c r="HG359" s="13"/>
      <c r="HH359" s="13"/>
      <c r="HI359" s="13"/>
      <c r="HJ359" s="13"/>
      <c r="HK359" s="13"/>
      <c r="HL359" s="13"/>
      <c r="HM359" s="13"/>
      <c r="HN359" s="13"/>
      <c r="HO359" s="13"/>
      <c r="HP359" s="13"/>
      <c r="HQ359" s="13"/>
      <c r="HR359" s="13"/>
      <c r="HS359" s="13"/>
      <c r="HT359" s="13"/>
      <c r="HU359" s="13"/>
      <c r="HV359" s="13"/>
      <c r="HW359" s="13"/>
      <c r="HX359" s="13"/>
      <c r="HY359" s="13"/>
      <c r="HZ359" s="13"/>
      <c r="IA359" s="13"/>
      <c r="IB359" s="13"/>
      <c r="IC359" s="13"/>
      <c r="ID359" s="13"/>
      <c r="IE359" s="13"/>
      <c r="IF359" s="13"/>
      <c r="IG359" s="13"/>
      <c r="IH359" s="13"/>
      <c r="II359" s="13"/>
      <c r="IJ359" s="13"/>
      <c r="IK359" s="13"/>
      <c r="IL359" s="13"/>
      <c r="IM359" s="13"/>
    </row>
    <row r="360" spans="1:247" s="10" customFormat="1" ht="30" x14ac:dyDescent="0.25">
      <c r="A360" s="18">
        <v>1</v>
      </c>
      <c r="B360" s="199" t="s">
        <v>79</v>
      </c>
      <c r="C360" s="332">
        <f t="shared" si="132"/>
        <v>278</v>
      </c>
      <c r="D360" s="332">
        <f t="shared" si="132"/>
        <v>185</v>
      </c>
      <c r="E360" s="332">
        <f t="shared" si="132"/>
        <v>200</v>
      </c>
      <c r="F360" s="332">
        <f t="shared" si="132"/>
        <v>108.10810810810811</v>
      </c>
      <c r="G360" s="522">
        <f t="shared" si="132"/>
        <v>422.80919999999998</v>
      </c>
      <c r="H360" s="522">
        <f t="shared" si="132"/>
        <v>281.87</v>
      </c>
      <c r="I360" s="522">
        <f t="shared" si="132"/>
        <v>302.78426000000002</v>
      </c>
      <c r="J360" s="522">
        <f t="shared" si="127"/>
        <v>107.4198247419023</v>
      </c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3"/>
      <c r="AZ360" s="13"/>
      <c r="BA360" s="13"/>
      <c r="BB360" s="13"/>
      <c r="BC360" s="13"/>
      <c r="BD360" s="13"/>
      <c r="BE360" s="13"/>
      <c r="BF360" s="13"/>
      <c r="BG360" s="13"/>
      <c r="BH360" s="13"/>
      <c r="BI360" s="13"/>
      <c r="BJ360" s="13"/>
      <c r="BK360" s="13"/>
      <c r="BL360" s="13"/>
      <c r="BM360" s="13"/>
      <c r="BN360" s="13"/>
      <c r="BO360" s="13"/>
      <c r="BP360" s="13"/>
      <c r="BQ360" s="13"/>
      <c r="BR360" s="13"/>
      <c r="BS360" s="13"/>
      <c r="BT360" s="13"/>
      <c r="BU360" s="13"/>
      <c r="BV360" s="13"/>
      <c r="BW360" s="13"/>
      <c r="BX360" s="13"/>
      <c r="BY360" s="13"/>
      <c r="BZ360" s="13"/>
      <c r="CA360" s="13"/>
      <c r="CB360" s="13"/>
      <c r="CC360" s="13"/>
      <c r="CD360" s="13"/>
      <c r="CE360" s="13"/>
      <c r="CF360" s="13"/>
      <c r="CG360" s="13"/>
      <c r="CH360" s="13"/>
      <c r="CI360" s="13"/>
      <c r="CJ360" s="13"/>
      <c r="CK360" s="13"/>
      <c r="CL360" s="13"/>
      <c r="CM360" s="13"/>
      <c r="CN360" s="13"/>
      <c r="CO360" s="13"/>
      <c r="CP360" s="13"/>
      <c r="CQ360" s="13"/>
      <c r="CR360" s="13"/>
      <c r="CS360" s="13"/>
      <c r="CT360" s="13"/>
      <c r="CU360" s="13"/>
      <c r="CV360" s="13"/>
      <c r="CW360" s="13"/>
      <c r="CX360" s="13"/>
      <c r="CY360" s="13"/>
      <c r="CZ360" s="13"/>
      <c r="DA360" s="13"/>
      <c r="DB360" s="13"/>
      <c r="DC360" s="13"/>
      <c r="DD360" s="13"/>
      <c r="DE360" s="13"/>
      <c r="DF360" s="13"/>
      <c r="DG360" s="13"/>
      <c r="DH360" s="13"/>
      <c r="DI360" s="13"/>
      <c r="DJ360" s="13"/>
      <c r="DK360" s="13"/>
      <c r="DL360" s="13"/>
      <c r="DM360" s="13"/>
      <c r="DN360" s="13"/>
      <c r="DO360" s="13"/>
      <c r="DP360" s="13"/>
      <c r="DQ360" s="13"/>
      <c r="DR360" s="13"/>
      <c r="DS360" s="13"/>
      <c r="DT360" s="13"/>
      <c r="DU360" s="13"/>
      <c r="DV360" s="13"/>
      <c r="DW360" s="13"/>
      <c r="DX360" s="13"/>
      <c r="DY360" s="13"/>
      <c r="DZ360" s="13"/>
      <c r="EA360" s="13"/>
      <c r="EB360" s="13"/>
      <c r="EC360" s="13"/>
      <c r="ED360" s="13"/>
      <c r="EE360" s="13"/>
      <c r="EF360" s="13"/>
      <c r="EG360" s="13"/>
      <c r="EH360" s="13"/>
      <c r="EI360" s="13"/>
      <c r="EJ360" s="13"/>
      <c r="EK360" s="13"/>
      <c r="EL360" s="13"/>
      <c r="EM360" s="13"/>
      <c r="EN360" s="13"/>
      <c r="EO360" s="13"/>
      <c r="EP360" s="13"/>
      <c r="EQ360" s="13"/>
      <c r="ER360" s="13"/>
      <c r="ES360" s="13"/>
      <c r="ET360" s="13"/>
      <c r="EU360" s="13"/>
      <c r="EV360" s="13"/>
      <c r="EW360" s="13"/>
      <c r="EX360" s="13"/>
      <c r="EY360" s="13"/>
      <c r="EZ360" s="13"/>
      <c r="FA360" s="13"/>
      <c r="FB360" s="13"/>
      <c r="FC360" s="13"/>
      <c r="FD360" s="13"/>
      <c r="FE360" s="13"/>
      <c r="FF360" s="13"/>
      <c r="FG360" s="13"/>
      <c r="FH360" s="13"/>
      <c r="FI360" s="13"/>
      <c r="FJ360" s="13"/>
      <c r="FK360" s="13"/>
      <c r="FL360" s="13"/>
      <c r="FM360" s="13"/>
      <c r="FN360" s="13"/>
      <c r="FO360" s="13"/>
      <c r="FP360" s="13"/>
      <c r="FQ360" s="13"/>
      <c r="FR360" s="13"/>
      <c r="FS360" s="13"/>
      <c r="FT360" s="13"/>
      <c r="FU360" s="13"/>
      <c r="FV360" s="13"/>
      <c r="FW360" s="13"/>
      <c r="FX360" s="13"/>
      <c r="FY360" s="13"/>
      <c r="FZ360" s="13"/>
      <c r="GA360" s="13"/>
      <c r="GB360" s="13"/>
      <c r="GC360" s="13"/>
      <c r="GD360" s="13"/>
      <c r="GE360" s="13"/>
      <c r="GF360" s="13"/>
      <c r="GG360" s="13"/>
      <c r="GH360" s="13"/>
      <c r="GI360" s="13"/>
      <c r="GJ360" s="13"/>
      <c r="GK360" s="13"/>
      <c r="GL360" s="13"/>
      <c r="GM360" s="13"/>
      <c r="GN360" s="13"/>
      <c r="GO360" s="13"/>
      <c r="GP360" s="13"/>
      <c r="GQ360" s="13"/>
      <c r="GR360" s="13"/>
      <c r="GS360" s="13"/>
      <c r="GT360" s="13"/>
      <c r="GU360" s="13"/>
      <c r="GV360" s="13"/>
      <c r="GW360" s="13"/>
      <c r="GX360" s="13"/>
      <c r="GY360" s="13"/>
      <c r="GZ360" s="13"/>
      <c r="HA360" s="13"/>
      <c r="HB360" s="13"/>
      <c r="HC360" s="13"/>
      <c r="HD360" s="13"/>
      <c r="HE360" s="13"/>
      <c r="HF360" s="13"/>
      <c r="HG360" s="13"/>
      <c r="HH360" s="13"/>
      <c r="HI360" s="13"/>
      <c r="HJ360" s="13"/>
      <c r="HK360" s="13"/>
      <c r="HL360" s="13"/>
      <c r="HM360" s="13"/>
      <c r="HN360" s="13"/>
      <c r="HO360" s="13"/>
      <c r="HP360" s="13"/>
      <c r="HQ360" s="13"/>
      <c r="HR360" s="13"/>
      <c r="HS360" s="13"/>
      <c r="HT360" s="13"/>
      <c r="HU360" s="13"/>
      <c r="HV360" s="13"/>
      <c r="HW360" s="13"/>
      <c r="HX360" s="13"/>
      <c r="HY360" s="13"/>
      <c r="HZ360" s="13"/>
      <c r="IA360" s="13"/>
      <c r="IB360" s="13"/>
      <c r="IC360" s="13"/>
      <c r="ID360" s="13"/>
      <c r="IE360" s="13"/>
      <c r="IF360" s="13"/>
      <c r="IG360" s="13"/>
      <c r="IH360" s="13"/>
      <c r="II360" s="13"/>
      <c r="IJ360" s="13"/>
      <c r="IK360" s="13"/>
      <c r="IL360" s="13"/>
      <c r="IM360" s="13"/>
    </row>
    <row r="361" spans="1:247" s="10" customFormat="1" ht="30" x14ac:dyDescent="0.25">
      <c r="A361" s="18">
        <v>1</v>
      </c>
      <c r="B361" s="199" t="s">
        <v>80</v>
      </c>
      <c r="C361" s="332">
        <f t="shared" si="132"/>
        <v>83</v>
      </c>
      <c r="D361" s="332">
        <f t="shared" si="132"/>
        <v>55</v>
      </c>
      <c r="E361" s="332">
        <f t="shared" si="132"/>
        <v>1</v>
      </c>
      <c r="F361" s="332">
        <f t="shared" si="132"/>
        <v>1.8181818181818181</v>
      </c>
      <c r="G361" s="522">
        <f t="shared" si="132"/>
        <v>116.23486</v>
      </c>
      <c r="H361" s="522">
        <f t="shared" si="132"/>
        <v>77.489999999999995</v>
      </c>
      <c r="I361" s="522">
        <f t="shared" si="132"/>
        <v>-11.286770000000001</v>
      </c>
      <c r="J361" s="522">
        <f t="shared" si="127"/>
        <v>-14.565453606917023</v>
      </c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3"/>
      <c r="AZ361" s="13"/>
      <c r="BA361" s="13"/>
      <c r="BB361" s="13"/>
      <c r="BC361" s="13"/>
      <c r="BD361" s="13"/>
      <c r="BE361" s="13"/>
      <c r="BF361" s="13"/>
      <c r="BG361" s="13"/>
      <c r="BH361" s="13"/>
      <c r="BI361" s="13"/>
      <c r="BJ361" s="13"/>
      <c r="BK361" s="13"/>
      <c r="BL361" s="13"/>
      <c r="BM361" s="13"/>
      <c r="BN361" s="13"/>
      <c r="BO361" s="13"/>
      <c r="BP361" s="13"/>
      <c r="BQ361" s="13"/>
      <c r="BR361" s="13"/>
      <c r="BS361" s="13"/>
      <c r="BT361" s="13"/>
      <c r="BU361" s="13"/>
      <c r="BV361" s="13"/>
      <c r="BW361" s="13"/>
      <c r="BX361" s="13"/>
      <c r="BY361" s="13"/>
      <c r="BZ361" s="13"/>
      <c r="CA361" s="13"/>
      <c r="CB361" s="13"/>
      <c r="CC361" s="13"/>
      <c r="CD361" s="13"/>
      <c r="CE361" s="13"/>
      <c r="CF361" s="13"/>
      <c r="CG361" s="13"/>
      <c r="CH361" s="13"/>
      <c r="CI361" s="13"/>
      <c r="CJ361" s="13"/>
      <c r="CK361" s="13"/>
      <c r="CL361" s="13"/>
      <c r="CM361" s="13"/>
      <c r="CN361" s="13"/>
      <c r="CO361" s="13"/>
      <c r="CP361" s="13"/>
      <c r="CQ361" s="13"/>
      <c r="CR361" s="13"/>
      <c r="CS361" s="13"/>
      <c r="CT361" s="13"/>
      <c r="CU361" s="13"/>
      <c r="CV361" s="13"/>
      <c r="CW361" s="13"/>
      <c r="CX361" s="13"/>
      <c r="CY361" s="13"/>
      <c r="CZ361" s="13"/>
      <c r="DA361" s="13"/>
      <c r="DB361" s="13"/>
      <c r="DC361" s="13"/>
      <c r="DD361" s="13"/>
      <c r="DE361" s="13"/>
      <c r="DF361" s="13"/>
      <c r="DG361" s="13"/>
      <c r="DH361" s="13"/>
      <c r="DI361" s="13"/>
      <c r="DJ361" s="13"/>
      <c r="DK361" s="13"/>
      <c r="DL361" s="13"/>
      <c r="DM361" s="13"/>
      <c r="DN361" s="13"/>
      <c r="DO361" s="13"/>
      <c r="DP361" s="13"/>
      <c r="DQ361" s="13"/>
      <c r="DR361" s="13"/>
      <c r="DS361" s="13"/>
      <c r="DT361" s="13"/>
      <c r="DU361" s="13"/>
      <c r="DV361" s="13"/>
      <c r="DW361" s="13"/>
      <c r="DX361" s="13"/>
      <c r="DY361" s="13"/>
      <c r="DZ361" s="13"/>
      <c r="EA361" s="13"/>
      <c r="EB361" s="13"/>
      <c r="EC361" s="13"/>
      <c r="ED361" s="13"/>
      <c r="EE361" s="13"/>
      <c r="EF361" s="13"/>
      <c r="EG361" s="13"/>
      <c r="EH361" s="13"/>
      <c r="EI361" s="13"/>
      <c r="EJ361" s="13"/>
      <c r="EK361" s="13"/>
      <c r="EL361" s="13"/>
      <c r="EM361" s="13"/>
      <c r="EN361" s="13"/>
      <c r="EO361" s="13"/>
      <c r="EP361" s="13"/>
      <c r="EQ361" s="13"/>
      <c r="ER361" s="13"/>
      <c r="ES361" s="13"/>
      <c r="ET361" s="13"/>
      <c r="EU361" s="13"/>
      <c r="EV361" s="13"/>
      <c r="EW361" s="13"/>
      <c r="EX361" s="13"/>
      <c r="EY361" s="13"/>
      <c r="EZ361" s="13"/>
      <c r="FA361" s="13"/>
      <c r="FB361" s="13"/>
      <c r="FC361" s="13"/>
      <c r="FD361" s="13"/>
      <c r="FE361" s="13"/>
      <c r="FF361" s="13"/>
      <c r="FG361" s="13"/>
      <c r="FH361" s="13"/>
      <c r="FI361" s="13"/>
      <c r="FJ361" s="13"/>
      <c r="FK361" s="13"/>
      <c r="FL361" s="13"/>
      <c r="FM361" s="13"/>
      <c r="FN361" s="13"/>
      <c r="FO361" s="13"/>
      <c r="FP361" s="13"/>
      <c r="FQ361" s="13"/>
      <c r="FR361" s="13"/>
      <c r="FS361" s="13"/>
      <c r="FT361" s="13"/>
      <c r="FU361" s="13"/>
      <c r="FV361" s="13"/>
      <c r="FW361" s="13"/>
      <c r="FX361" s="13"/>
      <c r="FY361" s="13"/>
      <c r="FZ361" s="13"/>
      <c r="GA361" s="13"/>
      <c r="GB361" s="13"/>
      <c r="GC361" s="13"/>
      <c r="GD361" s="13"/>
      <c r="GE361" s="13"/>
      <c r="GF361" s="13"/>
      <c r="GG361" s="13"/>
      <c r="GH361" s="13"/>
      <c r="GI361" s="13"/>
      <c r="GJ361" s="13"/>
      <c r="GK361" s="13"/>
      <c r="GL361" s="13"/>
      <c r="GM361" s="13"/>
      <c r="GN361" s="13"/>
      <c r="GO361" s="13"/>
      <c r="GP361" s="13"/>
      <c r="GQ361" s="13"/>
      <c r="GR361" s="13"/>
      <c r="GS361" s="13"/>
      <c r="GT361" s="13"/>
      <c r="GU361" s="13"/>
      <c r="GV361" s="13"/>
      <c r="GW361" s="13"/>
      <c r="GX361" s="13"/>
      <c r="GY361" s="13"/>
      <c r="GZ361" s="13"/>
      <c r="HA361" s="13"/>
      <c r="HB361" s="13"/>
      <c r="HC361" s="13"/>
      <c r="HD361" s="13"/>
      <c r="HE361" s="13"/>
      <c r="HF361" s="13"/>
      <c r="HG361" s="13"/>
      <c r="HH361" s="13"/>
      <c r="HI361" s="13"/>
      <c r="HJ361" s="13"/>
      <c r="HK361" s="13"/>
      <c r="HL361" s="13"/>
      <c r="HM361" s="13"/>
      <c r="HN361" s="13"/>
      <c r="HO361" s="13"/>
      <c r="HP361" s="13"/>
      <c r="HQ361" s="13"/>
      <c r="HR361" s="13"/>
      <c r="HS361" s="13"/>
      <c r="HT361" s="13"/>
      <c r="HU361" s="13"/>
      <c r="HV361" s="13"/>
      <c r="HW361" s="13"/>
      <c r="HX361" s="13"/>
      <c r="HY361" s="13"/>
      <c r="HZ361" s="13"/>
      <c r="IA361" s="13"/>
      <c r="IB361" s="13"/>
      <c r="IC361" s="13"/>
      <c r="ID361" s="13"/>
      <c r="IE361" s="13"/>
      <c r="IF361" s="13"/>
      <c r="IG361" s="13"/>
      <c r="IH361" s="13"/>
      <c r="II361" s="13"/>
      <c r="IJ361" s="13"/>
      <c r="IK361" s="13"/>
      <c r="IL361" s="13"/>
      <c r="IM361" s="13"/>
    </row>
    <row r="362" spans="1:247" s="10" customFormat="1" ht="45" x14ac:dyDescent="0.25">
      <c r="A362" s="18">
        <v>1</v>
      </c>
      <c r="B362" s="199" t="s">
        <v>114</v>
      </c>
      <c r="C362" s="332">
        <f t="shared" si="132"/>
        <v>0</v>
      </c>
      <c r="D362" s="332">
        <f t="shared" si="132"/>
        <v>0</v>
      </c>
      <c r="E362" s="332">
        <f t="shared" si="132"/>
        <v>0</v>
      </c>
      <c r="F362" s="332">
        <f t="shared" si="132"/>
        <v>0</v>
      </c>
      <c r="G362" s="522">
        <f t="shared" si="132"/>
        <v>0</v>
      </c>
      <c r="H362" s="522">
        <f t="shared" si="132"/>
        <v>0</v>
      </c>
      <c r="I362" s="522">
        <f t="shared" si="132"/>
        <v>0</v>
      </c>
      <c r="J362" s="522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3"/>
      <c r="AZ362" s="13"/>
      <c r="BA362" s="13"/>
      <c r="BB362" s="13"/>
      <c r="BC362" s="13"/>
      <c r="BD362" s="13"/>
      <c r="BE362" s="13"/>
      <c r="BF362" s="13"/>
      <c r="BG362" s="13"/>
      <c r="BH362" s="13"/>
      <c r="BI362" s="13"/>
      <c r="BJ362" s="13"/>
      <c r="BK362" s="13"/>
      <c r="BL362" s="13"/>
      <c r="BM362" s="13"/>
      <c r="BN362" s="13"/>
      <c r="BO362" s="13"/>
      <c r="BP362" s="13"/>
      <c r="BQ362" s="13"/>
      <c r="BR362" s="13"/>
      <c r="BS362" s="13"/>
      <c r="BT362" s="13"/>
      <c r="BU362" s="13"/>
      <c r="BV362" s="13"/>
      <c r="BW362" s="13"/>
      <c r="BX362" s="13"/>
      <c r="BY362" s="13"/>
      <c r="BZ362" s="13"/>
      <c r="CA362" s="13"/>
      <c r="CB362" s="13"/>
      <c r="CC362" s="13"/>
      <c r="CD362" s="13"/>
      <c r="CE362" s="13"/>
      <c r="CF362" s="13"/>
      <c r="CG362" s="13"/>
      <c r="CH362" s="13"/>
      <c r="CI362" s="13"/>
      <c r="CJ362" s="13"/>
      <c r="CK362" s="13"/>
      <c r="CL362" s="13"/>
      <c r="CM362" s="13"/>
      <c r="CN362" s="13"/>
      <c r="CO362" s="13"/>
      <c r="CP362" s="13"/>
      <c r="CQ362" s="13"/>
      <c r="CR362" s="13"/>
      <c r="CS362" s="13"/>
      <c r="CT362" s="13"/>
      <c r="CU362" s="13"/>
      <c r="CV362" s="13"/>
      <c r="CW362" s="13"/>
      <c r="CX362" s="13"/>
      <c r="CY362" s="13"/>
      <c r="CZ362" s="13"/>
      <c r="DA362" s="13"/>
      <c r="DB362" s="13"/>
      <c r="DC362" s="13"/>
      <c r="DD362" s="13"/>
      <c r="DE362" s="13"/>
      <c r="DF362" s="13"/>
      <c r="DG362" s="13"/>
      <c r="DH362" s="13"/>
      <c r="DI362" s="13"/>
      <c r="DJ362" s="13"/>
      <c r="DK362" s="13"/>
      <c r="DL362" s="13"/>
      <c r="DM362" s="13"/>
      <c r="DN362" s="13"/>
      <c r="DO362" s="13"/>
      <c r="DP362" s="13"/>
      <c r="DQ362" s="13"/>
      <c r="DR362" s="13"/>
      <c r="DS362" s="13"/>
      <c r="DT362" s="13"/>
      <c r="DU362" s="13"/>
      <c r="DV362" s="13"/>
      <c r="DW362" s="13"/>
      <c r="DX362" s="13"/>
      <c r="DY362" s="13"/>
      <c r="DZ362" s="13"/>
      <c r="EA362" s="13"/>
      <c r="EB362" s="13"/>
      <c r="EC362" s="13"/>
      <c r="ED362" s="13"/>
      <c r="EE362" s="13"/>
      <c r="EF362" s="13"/>
      <c r="EG362" s="13"/>
      <c r="EH362" s="13"/>
      <c r="EI362" s="13"/>
      <c r="EJ362" s="13"/>
      <c r="EK362" s="13"/>
      <c r="EL362" s="13"/>
      <c r="EM362" s="13"/>
      <c r="EN362" s="13"/>
      <c r="EO362" s="13"/>
      <c r="EP362" s="13"/>
      <c r="EQ362" s="13"/>
      <c r="ER362" s="13"/>
      <c r="ES362" s="13"/>
      <c r="ET362" s="13"/>
      <c r="EU362" s="13"/>
      <c r="EV362" s="13"/>
      <c r="EW362" s="13"/>
      <c r="EX362" s="13"/>
      <c r="EY362" s="13"/>
      <c r="EZ362" s="13"/>
      <c r="FA362" s="13"/>
      <c r="FB362" s="13"/>
      <c r="FC362" s="13"/>
      <c r="FD362" s="13"/>
      <c r="FE362" s="13"/>
      <c r="FF362" s="13"/>
      <c r="FG362" s="13"/>
      <c r="FH362" s="13"/>
      <c r="FI362" s="13"/>
      <c r="FJ362" s="13"/>
      <c r="FK362" s="13"/>
      <c r="FL362" s="13"/>
      <c r="FM362" s="13"/>
      <c r="FN362" s="13"/>
      <c r="FO362" s="13"/>
      <c r="FP362" s="13"/>
      <c r="FQ362" s="13"/>
      <c r="FR362" s="13"/>
      <c r="FS362" s="13"/>
      <c r="FT362" s="13"/>
      <c r="FU362" s="13"/>
      <c r="FV362" s="13"/>
      <c r="FW362" s="13"/>
      <c r="FX362" s="13"/>
      <c r="FY362" s="13"/>
      <c r="FZ362" s="13"/>
      <c r="GA362" s="13"/>
      <c r="GB362" s="13"/>
      <c r="GC362" s="13"/>
      <c r="GD362" s="13"/>
      <c r="GE362" s="13"/>
      <c r="GF362" s="13"/>
      <c r="GG362" s="13"/>
      <c r="GH362" s="13"/>
      <c r="GI362" s="13"/>
      <c r="GJ362" s="13"/>
      <c r="GK362" s="13"/>
      <c r="GL362" s="13"/>
      <c r="GM362" s="13"/>
      <c r="GN362" s="13"/>
      <c r="GO362" s="13"/>
      <c r="GP362" s="13"/>
      <c r="GQ362" s="13"/>
      <c r="GR362" s="13"/>
      <c r="GS362" s="13"/>
      <c r="GT362" s="13"/>
      <c r="GU362" s="13"/>
      <c r="GV362" s="13"/>
      <c r="GW362" s="13"/>
      <c r="GX362" s="13"/>
      <c r="GY362" s="13"/>
      <c r="GZ362" s="13"/>
      <c r="HA362" s="13"/>
      <c r="HB362" s="13"/>
      <c r="HC362" s="13"/>
      <c r="HD362" s="13"/>
      <c r="HE362" s="13"/>
      <c r="HF362" s="13"/>
      <c r="HG362" s="13"/>
      <c r="HH362" s="13"/>
      <c r="HI362" s="13"/>
      <c r="HJ362" s="13"/>
      <c r="HK362" s="13"/>
      <c r="HL362" s="13"/>
      <c r="HM362" s="13"/>
      <c r="HN362" s="13"/>
      <c r="HO362" s="13"/>
      <c r="HP362" s="13"/>
      <c r="HQ362" s="13"/>
      <c r="HR362" s="13"/>
      <c r="HS362" s="13"/>
      <c r="HT362" s="13"/>
      <c r="HU362" s="13"/>
      <c r="HV362" s="13"/>
      <c r="HW362" s="13"/>
      <c r="HX362" s="13"/>
      <c r="HY362" s="13"/>
      <c r="HZ362" s="13"/>
      <c r="IA362" s="13"/>
      <c r="IB362" s="13"/>
      <c r="IC362" s="13"/>
      <c r="ID362" s="13"/>
      <c r="IE362" s="13"/>
      <c r="IF362" s="13"/>
      <c r="IG362" s="13"/>
      <c r="IH362" s="13"/>
      <c r="II362" s="13"/>
      <c r="IJ362" s="13"/>
      <c r="IK362" s="13"/>
      <c r="IL362" s="13"/>
      <c r="IM362" s="13"/>
    </row>
    <row r="363" spans="1:247" s="10" customFormat="1" ht="30" x14ac:dyDescent="0.25">
      <c r="A363" s="18">
        <v>1</v>
      </c>
      <c r="B363" s="199" t="s">
        <v>115</v>
      </c>
      <c r="C363" s="332">
        <f t="shared" si="132"/>
        <v>39</v>
      </c>
      <c r="D363" s="332">
        <f t="shared" si="132"/>
        <v>26</v>
      </c>
      <c r="E363" s="332">
        <f t="shared" si="132"/>
        <v>14</v>
      </c>
      <c r="F363" s="332">
        <f t="shared" si="132"/>
        <v>53.846153846153847</v>
      </c>
      <c r="G363" s="522">
        <f t="shared" si="132"/>
        <v>255.92112</v>
      </c>
      <c r="H363" s="522">
        <f t="shared" si="132"/>
        <v>170.61</v>
      </c>
      <c r="I363" s="522">
        <f t="shared" si="132"/>
        <v>91.869119999999995</v>
      </c>
      <c r="J363" s="522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3"/>
      <c r="AZ363" s="13"/>
      <c r="BA363" s="13"/>
      <c r="BB363" s="13"/>
      <c r="BC363" s="13"/>
      <c r="BD363" s="13"/>
      <c r="BE363" s="13"/>
      <c r="BF363" s="13"/>
      <c r="BG363" s="13"/>
      <c r="BH363" s="13"/>
      <c r="BI363" s="13"/>
      <c r="BJ363" s="13"/>
      <c r="BK363" s="13"/>
      <c r="BL363" s="13"/>
      <c r="BM363" s="13"/>
      <c r="BN363" s="13"/>
      <c r="BO363" s="13"/>
      <c r="BP363" s="13"/>
      <c r="BQ363" s="13"/>
      <c r="BR363" s="13"/>
      <c r="BS363" s="13"/>
      <c r="BT363" s="13"/>
      <c r="BU363" s="13"/>
      <c r="BV363" s="13"/>
      <c r="BW363" s="13"/>
      <c r="BX363" s="13"/>
      <c r="BY363" s="13"/>
      <c r="BZ363" s="13"/>
      <c r="CA363" s="13"/>
      <c r="CB363" s="13"/>
      <c r="CC363" s="13"/>
      <c r="CD363" s="13"/>
      <c r="CE363" s="13"/>
      <c r="CF363" s="13"/>
      <c r="CG363" s="13"/>
      <c r="CH363" s="13"/>
      <c r="CI363" s="13"/>
      <c r="CJ363" s="13"/>
      <c r="CK363" s="13"/>
      <c r="CL363" s="13"/>
      <c r="CM363" s="13"/>
      <c r="CN363" s="13"/>
      <c r="CO363" s="13"/>
      <c r="CP363" s="13"/>
      <c r="CQ363" s="13"/>
      <c r="CR363" s="13"/>
      <c r="CS363" s="13"/>
      <c r="CT363" s="13"/>
      <c r="CU363" s="13"/>
      <c r="CV363" s="13"/>
      <c r="CW363" s="13"/>
      <c r="CX363" s="13"/>
      <c r="CY363" s="13"/>
      <c r="CZ363" s="13"/>
      <c r="DA363" s="13"/>
      <c r="DB363" s="13"/>
      <c r="DC363" s="13"/>
      <c r="DD363" s="13"/>
      <c r="DE363" s="13"/>
      <c r="DF363" s="13"/>
      <c r="DG363" s="13"/>
      <c r="DH363" s="13"/>
      <c r="DI363" s="13"/>
      <c r="DJ363" s="13"/>
      <c r="DK363" s="13"/>
      <c r="DL363" s="13"/>
      <c r="DM363" s="13"/>
      <c r="DN363" s="13"/>
      <c r="DO363" s="13"/>
      <c r="DP363" s="13"/>
      <c r="DQ363" s="13"/>
      <c r="DR363" s="13"/>
      <c r="DS363" s="13"/>
      <c r="DT363" s="13"/>
      <c r="DU363" s="13"/>
      <c r="DV363" s="13"/>
      <c r="DW363" s="13"/>
      <c r="DX363" s="13"/>
      <c r="DY363" s="13"/>
      <c r="DZ363" s="13"/>
      <c r="EA363" s="13"/>
      <c r="EB363" s="13"/>
      <c r="EC363" s="13"/>
      <c r="ED363" s="13"/>
      <c r="EE363" s="13"/>
      <c r="EF363" s="13"/>
      <c r="EG363" s="13"/>
      <c r="EH363" s="13"/>
      <c r="EI363" s="13"/>
      <c r="EJ363" s="13"/>
      <c r="EK363" s="13"/>
      <c r="EL363" s="13"/>
      <c r="EM363" s="13"/>
      <c r="EN363" s="13"/>
      <c r="EO363" s="13"/>
      <c r="EP363" s="13"/>
      <c r="EQ363" s="13"/>
      <c r="ER363" s="13"/>
      <c r="ES363" s="13"/>
      <c r="ET363" s="13"/>
      <c r="EU363" s="13"/>
      <c r="EV363" s="13"/>
      <c r="EW363" s="13"/>
      <c r="EX363" s="13"/>
      <c r="EY363" s="13"/>
      <c r="EZ363" s="13"/>
      <c r="FA363" s="13"/>
      <c r="FB363" s="13"/>
      <c r="FC363" s="13"/>
      <c r="FD363" s="13"/>
      <c r="FE363" s="13"/>
      <c r="FF363" s="13"/>
      <c r="FG363" s="13"/>
      <c r="FH363" s="13"/>
      <c r="FI363" s="13"/>
      <c r="FJ363" s="13"/>
      <c r="FK363" s="13"/>
      <c r="FL363" s="13"/>
      <c r="FM363" s="13"/>
      <c r="FN363" s="13"/>
      <c r="FO363" s="13"/>
      <c r="FP363" s="13"/>
      <c r="FQ363" s="13"/>
      <c r="FR363" s="13"/>
      <c r="FS363" s="13"/>
      <c r="FT363" s="13"/>
      <c r="FU363" s="13"/>
      <c r="FV363" s="13"/>
      <c r="FW363" s="13"/>
      <c r="FX363" s="13"/>
      <c r="FY363" s="13"/>
      <c r="FZ363" s="13"/>
      <c r="GA363" s="13"/>
      <c r="GB363" s="13"/>
      <c r="GC363" s="13"/>
      <c r="GD363" s="13"/>
      <c r="GE363" s="13"/>
      <c r="GF363" s="13"/>
      <c r="GG363" s="13"/>
      <c r="GH363" s="13"/>
      <c r="GI363" s="13"/>
      <c r="GJ363" s="13"/>
      <c r="GK363" s="13"/>
      <c r="GL363" s="13"/>
      <c r="GM363" s="13"/>
      <c r="GN363" s="13"/>
      <c r="GO363" s="13"/>
      <c r="GP363" s="13"/>
      <c r="GQ363" s="13"/>
      <c r="GR363" s="13"/>
      <c r="GS363" s="13"/>
      <c r="GT363" s="13"/>
      <c r="GU363" s="13"/>
      <c r="GV363" s="13"/>
      <c r="GW363" s="13"/>
      <c r="GX363" s="13"/>
      <c r="GY363" s="13"/>
      <c r="GZ363" s="13"/>
      <c r="HA363" s="13"/>
      <c r="HB363" s="13"/>
      <c r="HC363" s="13"/>
      <c r="HD363" s="13"/>
      <c r="HE363" s="13"/>
      <c r="HF363" s="13"/>
      <c r="HG363" s="13"/>
      <c r="HH363" s="13"/>
      <c r="HI363" s="13"/>
      <c r="HJ363" s="13"/>
      <c r="HK363" s="13"/>
      <c r="HL363" s="13"/>
      <c r="HM363" s="13"/>
      <c r="HN363" s="13"/>
      <c r="HO363" s="13"/>
      <c r="HP363" s="13"/>
      <c r="HQ363" s="13"/>
      <c r="HR363" s="13"/>
      <c r="HS363" s="13"/>
      <c r="HT363" s="13"/>
      <c r="HU363" s="13"/>
      <c r="HV363" s="13"/>
      <c r="HW363" s="13"/>
      <c r="HX363" s="13"/>
      <c r="HY363" s="13"/>
      <c r="HZ363" s="13"/>
      <c r="IA363" s="13"/>
      <c r="IB363" s="13"/>
      <c r="IC363" s="13"/>
      <c r="ID363" s="13"/>
      <c r="IE363" s="13"/>
      <c r="IF363" s="13"/>
      <c r="IG363" s="13"/>
      <c r="IH363" s="13"/>
      <c r="II363" s="13"/>
      <c r="IJ363" s="13"/>
      <c r="IK363" s="13"/>
      <c r="IL363" s="13"/>
      <c r="IM363" s="13"/>
    </row>
    <row r="364" spans="1:247" s="10" customFormat="1" ht="30" x14ac:dyDescent="0.25">
      <c r="A364" s="18">
        <v>1</v>
      </c>
      <c r="B364" s="198" t="s">
        <v>112</v>
      </c>
      <c r="C364" s="332">
        <f t="shared" si="132"/>
        <v>723</v>
      </c>
      <c r="D364" s="332">
        <f t="shared" si="132"/>
        <v>481</v>
      </c>
      <c r="E364" s="332">
        <f t="shared" si="132"/>
        <v>288</v>
      </c>
      <c r="F364" s="332">
        <f t="shared" si="132"/>
        <v>59.875259875259879</v>
      </c>
      <c r="G364" s="522">
        <f t="shared" si="132"/>
        <v>1484.9919300000001</v>
      </c>
      <c r="H364" s="522">
        <f t="shared" si="132"/>
        <v>989.9899999999999</v>
      </c>
      <c r="I364" s="522">
        <f t="shared" si="132"/>
        <v>747.00786000000016</v>
      </c>
      <c r="J364" s="522">
        <f t="shared" si="127"/>
        <v>75.456101576783624</v>
      </c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  <c r="AY364" s="13"/>
      <c r="AZ364" s="13"/>
      <c r="BA364" s="13"/>
      <c r="BB364" s="13"/>
      <c r="BC364" s="13"/>
      <c r="BD364" s="13"/>
      <c r="BE364" s="13"/>
      <c r="BF364" s="13"/>
      <c r="BG364" s="13"/>
      <c r="BH364" s="13"/>
      <c r="BI364" s="13"/>
      <c r="BJ364" s="13"/>
      <c r="BK364" s="13"/>
      <c r="BL364" s="13"/>
      <c r="BM364" s="13"/>
      <c r="BN364" s="13"/>
      <c r="BO364" s="13"/>
      <c r="BP364" s="13"/>
      <c r="BQ364" s="13"/>
      <c r="BR364" s="13"/>
      <c r="BS364" s="13"/>
      <c r="BT364" s="13"/>
      <c r="BU364" s="13"/>
      <c r="BV364" s="13"/>
      <c r="BW364" s="13"/>
      <c r="BX364" s="13"/>
      <c r="BY364" s="13"/>
      <c r="BZ364" s="13"/>
      <c r="CA364" s="13"/>
      <c r="CB364" s="13"/>
      <c r="CC364" s="13"/>
      <c r="CD364" s="13"/>
      <c r="CE364" s="13"/>
      <c r="CF364" s="13"/>
      <c r="CG364" s="13"/>
      <c r="CH364" s="13"/>
      <c r="CI364" s="13"/>
      <c r="CJ364" s="13"/>
      <c r="CK364" s="13"/>
      <c r="CL364" s="13"/>
      <c r="CM364" s="13"/>
      <c r="CN364" s="13"/>
      <c r="CO364" s="13"/>
      <c r="CP364" s="13"/>
      <c r="CQ364" s="13"/>
      <c r="CR364" s="13"/>
      <c r="CS364" s="13"/>
      <c r="CT364" s="13"/>
      <c r="CU364" s="13"/>
      <c r="CV364" s="13"/>
      <c r="CW364" s="13"/>
      <c r="CX364" s="13"/>
      <c r="CY364" s="13"/>
      <c r="CZ364" s="13"/>
      <c r="DA364" s="13"/>
      <c r="DB364" s="13"/>
      <c r="DC364" s="13"/>
      <c r="DD364" s="13"/>
      <c r="DE364" s="13"/>
      <c r="DF364" s="13"/>
      <c r="DG364" s="13"/>
      <c r="DH364" s="13"/>
      <c r="DI364" s="13"/>
      <c r="DJ364" s="13"/>
      <c r="DK364" s="13"/>
      <c r="DL364" s="13"/>
      <c r="DM364" s="13"/>
      <c r="DN364" s="13"/>
      <c r="DO364" s="13"/>
      <c r="DP364" s="13"/>
      <c r="DQ364" s="13"/>
      <c r="DR364" s="13"/>
      <c r="DS364" s="13"/>
      <c r="DT364" s="13"/>
      <c r="DU364" s="13"/>
      <c r="DV364" s="13"/>
      <c r="DW364" s="13"/>
      <c r="DX364" s="13"/>
      <c r="DY364" s="13"/>
      <c r="DZ364" s="13"/>
      <c r="EA364" s="13"/>
      <c r="EB364" s="13"/>
      <c r="EC364" s="13"/>
      <c r="ED364" s="13"/>
      <c r="EE364" s="13"/>
      <c r="EF364" s="13"/>
      <c r="EG364" s="13"/>
      <c r="EH364" s="13"/>
      <c r="EI364" s="13"/>
      <c r="EJ364" s="13"/>
      <c r="EK364" s="13"/>
      <c r="EL364" s="13"/>
      <c r="EM364" s="13"/>
      <c r="EN364" s="13"/>
      <c r="EO364" s="13"/>
      <c r="EP364" s="13"/>
      <c r="EQ364" s="13"/>
      <c r="ER364" s="13"/>
      <c r="ES364" s="13"/>
      <c r="ET364" s="13"/>
      <c r="EU364" s="13"/>
      <c r="EV364" s="13"/>
      <c r="EW364" s="13"/>
      <c r="EX364" s="13"/>
      <c r="EY364" s="13"/>
      <c r="EZ364" s="13"/>
      <c r="FA364" s="13"/>
      <c r="FB364" s="13"/>
      <c r="FC364" s="13"/>
      <c r="FD364" s="13"/>
      <c r="FE364" s="13"/>
      <c r="FF364" s="13"/>
      <c r="FG364" s="13"/>
      <c r="FH364" s="13"/>
      <c r="FI364" s="13"/>
      <c r="FJ364" s="13"/>
      <c r="FK364" s="13"/>
      <c r="FL364" s="13"/>
      <c r="FM364" s="13"/>
      <c r="FN364" s="13"/>
      <c r="FO364" s="13"/>
      <c r="FP364" s="13"/>
      <c r="FQ364" s="13"/>
      <c r="FR364" s="13"/>
      <c r="FS364" s="13"/>
      <c r="FT364" s="13"/>
      <c r="FU364" s="13"/>
      <c r="FV364" s="13"/>
      <c r="FW364" s="13"/>
      <c r="FX364" s="13"/>
      <c r="FY364" s="13"/>
      <c r="FZ364" s="13"/>
      <c r="GA364" s="13"/>
      <c r="GB364" s="13"/>
      <c r="GC364" s="13"/>
      <c r="GD364" s="13"/>
      <c r="GE364" s="13"/>
      <c r="GF364" s="13"/>
      <c r="GG364" s="13"/>
      <c r="GH364" s="13"/>
      <c r="GI364" s="13"/>
      <c r="GJ364" s="13"/>
      <c r="GK364" s="13"/>
      <c r="GL364" s="13"/>
      <c r="GM364" s="13"/>
      <c r="GN364" s="13"/>
      <c r="GO364" s="13"/>
      <c r="GP364" s="13"/>
      <c r="GQ364" s="13"/>
      <c r="GR364" s="13"/>
      <c r="GS364" s="13"/>
      <c r="GT364" s="13"/>
      <c r="GU364" s="13"/>
      <c r="GV364" s="13"/>
      <c r="GW364" s="13"/>
      <c r="GX364" s="13"/>
      <c r="GY364" s="13"/>
      <c r="GZ364" s="13"/>
      <c r="HA364" s="13"/>
      <c r="HB364" s="13"/>
      <c r="HC364" s="13"/>
      <c r="HD364" s="13"/>
      <c r="HE364" s="13"/>
      <c r="HF364" s="13"/>
      <c r="HG364" s="13"/>
      <c r="HH364" s="13"/>
      <c r="HI364" s="13"/>
      <c r="HJ364" s="13"/>
      <c r="HK364" s="13"/>
      <c r="HL364" s="13"/>
      <c r="HM364" s="13"/>
      <c r="HN364" s="13"/>
      <c r="HO364" s="13"/>
      <c r="HP364" s="13"/>
      <c r="HQ364" s="13"/>
      <c r="HR364" s="13"/>
      <c r="HS364" s="13"/>
      <c r="HT364" s="13"/>
      <c r="HU364" s="13"/>
      <c r="HV364" s="13"/>
      <c r="HW364" s="13"/>
      <c r="HX364" s="13"/>
      <c r="HY364" s="13"/>
      <c r="HZ364" s="13"/>
      <c r="IA364" s="13"/>
      <c r="IB364" s="13"/>
      <c r="IC364" s="13"/>
      <c r="ID364" s="13"/>
      <c r="IE364" s="13"/>
      <c r="IF364" s="13"/>
      <c r="IG364" s="13"/>
      <c r="IH364" s="13"/>
      <c r="II364" s="13"/>
      <c r="IJ364" s="13"/>
      <c r="IK364" s="13"/>
      <c r="IL364" s="13"/>
      <c r="IM364" s="13"/>
    </row>
    <row r="365" spans="1:247" s="10" customFormat="1" ht="30" x14ac:dyDescent="0.25">
      <c r="A365" s="18">
        <v>1</v>
      </c>
      <c r="B365" s="199" t="s">
        <v>108</v>
      </c>
      <c r="C365" s="332">
        <f t="shared" si="132"/>
        <v>20</v>
      </c>
      <c r="D365" s="332">
        <f t="shared" si="132"/>
        <v>13</v>
      </c>
      <c r="E365" s="332">
        <f t="shared" si="132"/>
        <v>0</v>
      </c>
      <c r="F365" s="332">
        <f t="shared" si="132"/>
        <v>0</v>
      </c>
      <c r="G365" s="522">
        <f t="shared" si="132"/>
        <v>42.410199999999996</v>
      </c>
      <c r="H365" s="522">
        <f t="shared" si="132"/>
        <v>28.27</v>
      </c>
      <c r="I365" s="522">
        <f t="shared" si="132"/>
        <v>0</v>
      </c>
      <c r="J365" s="522">
        <f t="shared" si="127"/>
        <v>0</v>
      </c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  <c r="AY365" s="13"/>
      <c r="AZ365" s="13"/>
      <c r="BA365" s="13"/>
      <c r="BB365" s="13"/>
      <c r="BC365" s="13"/>
      <c r="BD365" s="13"/>
      <c r="BE365" s="13"/>
      <c r="BF365" s="13"/>
      <c r="BG365" s="13"/>
      <c r="BH365" s="13"/>
      <c r="BI365" s="13"/>
      <c r="BJ365" s="13"/>
      <c r="BK365" s="13"/>
      <c r="BL365" s="13"/>
      <c r="BM365" s="13"/>
      <c r="BN365" s="13"/>
      <c r="BO365" s="13"/>
      <c r="BP365" s="13"/>
      <c r="BQ365" s="13"/>
      <c r="BR365" s="13"/>
      <c r="BS365" s="13"/>
      <c r="BT365" s="13"/>
      <c r="BU365" s="13"/>
      <c r="BV365" s="13"/>
      <c r="BW365" s="13"/>
      <c r="BX365" s="13"/>
      <c r="BY365" s="13"/>
      <c r="BZ365" s="13"/>
      <c r="CA365" s="13"/>
      <c r="CB365" s="13"/>
      <c r="CC365" s="13"/>
      <c r="CD365" s="13"/>
      <c r="CE365" s="13"/>
      <c r="CF365" s="13"/>
      <c r="CG365" s="13"/>
      <c r="CH365" s="13"/>
      <c r="CI365" s="13"/>
      <c r="CJ365" s="13"/>
      <c r="CK365" s="13"/>
      <c r="CL365" s="13"/>
      <c r="CM365" s="13"/>
      <c r="CN365" s="13"/>
      <c r="CO365" s="13"/>
      <c r="CP365" s="13"/>
      <c r="CQ365" s="13"/>
      <c r="CR365" s="13"/>
      <c r="CS365" s="13"/>
      <c r="CT365" s="13"/>
      <c r="CU365" s="13"/>
      <c r="CV365" s="13"/>
      <c r="CW365" s="13"/>
      <c r="CX365" s="13"/>
      <c r="CY365" s="13"/>
      <c r="CZ365" s="13"/>
      <c r="DA365" s="13"/>
      <c r="DB365" s="13"/>
      <c r="DC365" s="13"/>
      <c r="DD365" s="13"/>
      <c r="DE365" s="13"/>
      <c r="DF365" s="13"/>
      <c r="DG365" s="13"/>
      <c r="DH365" s="13"/>
      <c r="DI365" s="13"/>
      <c r="DJ365" s="13"/>
      <c r="DK365" s="13"/>
      <c r="DL365" s="13"/>
      <c r="DM365" s="13"/>
      <c r="DN365" s="13"/>
      <c r="DO365" s="13"/>
      <c r="DP365" s="13"/>
      <c r="DQ365" s="13"/>
      <c r="DR365" s="13"/>
      <c r="DS365" s="13"/>
      <c r="DT365" s="13"/>
      <c r="DU365" s="13"/>
      <c r="DV365" s="13"/>
      <c r="DW365" s="13"/>
      <c r="DX365" s="13"/>
      <c r="DY365" s="13"/>
      <c r="DZ365" s="13"/>
      <c r="EA365" s="13"/>
      <c r="EB365" s="13"/>
      <c r="EC365" s="13"/>
      <c r="ED365" s="13"/>
      <c r="EE365" s="13"/>
      <c r="EF365" s="13"/>
      <c r="EG365" s="13"/>
      <c r="EH365" s="13"/>
      <c r="EI365" s="13"/>
      <c r="EJ365" s="13"/>
      <c r="EK365" s="13"/>
      <c r="EL365" s="13"/>
      <c r="EM365" s="13"/>
      <c r="EN365" s="13"/>
      <c r="EO365" s="13"/>
      <c r="EP365" s="13"/>
      <c r="EQ365" s="13"/>
      <c r="ER365" s="13"/>
      <c r="ES365" s="13"/>
      <c r="ET365" s="13"/>
      <c r="EU365" s="13"/>
      <c r="EV365" s="13"/>
      <c r="EW365" s="13"/>
      <c r="EX365" s="13"/>
      <c r="EY365" s="13"/>
      <c r="EZ365" s="13"/>
      <c r="FA365" s="13"/>
      <c r="FB365" s="13"/>
      <c r="FC365" s="13"/>
      <c r="FD365" s="13"/>
      <c r="FE365" s="13"/>
      <c r="FF365" s="13"/>
      <c r="FG365" s="13"/>
      <c r="FH365" s="13"/>
      <c r="FI365" s="13"/>
      <c r="FJ365" s="13"/>
      <c r="FK365" s="13"/>
      <c r="FL365" s="13"/>
      <c r="FM365" s="13"/>
      <c r="FN365" s="13"/>
      <c r="FO365" s="13"/>
      <c r="FP365" s="13"/>
      <c r="FQ365" s="13"/>
      <c r="FR365" s="13"/>
      <c r="FS365" s="13"/>
      <c r="FT365" s="13"/>
      <c r="FU365" s="13"/>
      <c r="FV365" s="13"/>
      <c r="FW365" s="13"/>
      <c r="FX365" s="13"/>
      <c r="FY365" s="13"/>
      <c r="FZ365" s="13"/>
      <c r="GA365" s="13"/>
      <c r="GB365" s="13"/>
      <c r="GC365" s="13"/>
      <c r="GD365" s="13"/>
      <c r="GE365" s="13"/>
      <c r="GF365" s="13"/>
      <c r="GG365" s="13"/>
      <c r="GH365" s="13"/>
      <c r="GI365" s="13"/>
      <c r="GJ365" s="13"/>
      <c r="GK365" s="13"/>
      <c r="GL365" s="13"/>
      <c r="GM365" s="13"/>
      <c r="GN365" s="13"/>
      <c r="GO365" s="13"/>
      <c r="GP365" s="13"/>
      <c r="GQ365" s="13"/>
      <c r="GR365" s="13"/>
      <c r="GS365" s="13"/>
      <c r="GT365" s="13"/>
      <c r="GU365" s="13"/>
      <c r="GV365" s="13"/>
      <c r="GW365" s="13"/>
      <c r="GX365" s="13"/>
      <c r="GY365" s="13"/>
      <c r="GZ365" s="13"/>
      <c r="HA365" s="13"/>
      <c r="HB365" s="13"/>
      <c r="HC365" s="13"/>
      <c r="HD365" s="13"/>
      <c r="HE365" s="13"/>
      <c r="HF365" s="13"/>
      <c r="HG365" s="13"/>
      <c r="HH365" s="13"/>
      <c r="HI365" s="13"/>
      <c r="HJ365" s="13"/>
      <c r="HK365" s="13"/>
      <c r="HL365" s="13"/>
      <c r="HM365" s="13"/>
      <c r="HN365" s="13"/>
      <c r="HO365" s="13"/>
      <c r="HP365" s="13"/>
      <c r="HQ365" s="13"/>
      <c r="HR365" s="13"/>
      <c r="HS365" s="13"/>
      <c r="HT365" s="13"/>
      <c r="HU365" s="13"/>
      <c r="HV365" s="13"/>
      <c r="HW365" s="13"/>
      <c r="HX365" s="13"/>
      <c r="HY365" s="13"/>
      <c r="HZ365" s="13"/>
      <c r="IA365" s="13"/>
      <c r="IB365" s="13"/>
      <c r="IC365" s="13"/>
      <c r="ID365" s="13"/>
      <c r="IE365" s="13"/>
      <c r="IF365" s="13"/>
      <c r="IG365" s="13"/>
      <c r="IH365" s="13"/>
      <c r="II365" s="13"/>
      <c r="IJ365" s="13"/>
      <c r="IK365" s="13"/>
      <c r="IL365" s="13"/>
      <c r="IM365" s="13"/>
    </row>
    <row r="366" spans="1:247" s="10" customFormat="1" ht="62.25" customHeight="1" x14ac:dyDescent="0.25">
      <c r="A366" s="18">
        <v>1</v>
      </c>
      <c r="B366" s="199" t="s">
        <v>81</v>
      </c>
      <c r="C366" s="332">
        <f t="shared" si="132"/>
        <v>425</v>
      </c>
      <c r="D366" s="332">
        <f t="shared" si="132"/>
        <v>283</v>
      </c>
      <c r="E366" s="332">
        <f t="shared" si="132"/>
        <v>258</v>
      </c>
      <c r="F366" s="332">
        <f t="shared" si="132"/>
        <v>91.166077738515909</v>
      </c>
      <c r="G366" s="522">
        <f t="shared" si="132"/>
        <v>1170.09725</v>
      </c>
      <c r="H366" s="522">
        <f t="shared" si="132"/>
        <v>780.06</v>
      </c>
      <c r="I366" s="522">
        <f t="shared" si="132"/>
        <v>710.22150000000011</v>
      </c>
      <c r="J366" s="522">
        <f t="shared" si="127"/>
        <v>91.047034843473597</v>
      </c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  <c r="AY366" s="13"/>
      <c r="AZ366" s="13"/>
      <c r="BA366" s="13"/>
      <c r="BB366" s="13"/>
      <c r="BC366" s="13"/>
      <c r="BD366" s="13"/>
      <c r="BE366" s="13"/>
      <c r="BF366" s="13"/>
      <c r="BG366" s="13"/>
      <c r="BH366" s="13"/>
      <c r="BI366" s="13"/>
      <c r="BJ366" s="13"/>
      <c r="BK366" s="13"/>
      <c r="BL366" s="13"/>
      <c r="BM366" s="13"/>
      <c r="BN366" s="13"/>
      <c r="BO366" s="13"/>
      <c r="BP366" s="13"/>
      <c r="BQ366" s="13"/>
      <c r="BR366" s="13"/>
      <c r="BS366" s="13"/>
      <c r="BT366" s="13"/>
      <c r="BU366" s="13"/>
      <c r="BV366" s="13"/>
      <c r="BW366" s="13"/>
      <c r="BX366" s="13"/>
      <c r="BY366" s="13"/>
      <c r="BZ366" s="13"/>
      <c r="CA366" s="13"/>
      <c r="CB366" s="13"/>
      <c r="CC366" s="13"/>
      <c r="CD366" s="13"/>
      <c r="CE366" s="13"/>
      <c r="CF366" s="13"/>
      <c r="CG366" s="13"/>
      <c r="CH366" s="13"/>
      <c r="CI366" s="13"/>
      <c r="CJ366" s="13"/>
      <c r="CK366" s="13"/>
      <c r="CL366" s="13"/>
      <c r="CM366" s="13"/>
      <c r="CN366" s="13"/>
      <c r="CO366" s="13"/>
      <c r="CP366" s="13"/>
      <c r="CQ366" s="13"/>
      <c r="CR366" s="13"/>
      <c r="CS366" s="13"/>
      <c r="CT366" s="13"/>
      <c r="CU366" s="13"/>
      <c r="CV366" s="13"/>
      <c r="CW366" s="13"/>
      <c r="CX366" s="13"/>
      <c r="CY366" s="13"/>
      <c r="CZ366" s="13"/>
      <c r="DA366" s="13"/>
      <c r="DB366" s="13"/>
      <c r="DC366" s="13"/>
      <c r="DD366" s="13"/>
      <c r="DE366" s="13"/>
      <c r="DF366" s="13"/>
      <c r="DG366" s="13"/>
      <c r="DH366" s="13"/>
      <c r="DI366" s="13"/>
      <c r="DJ366" s="13"/>
      <c r="DK366" s="13"/>
      <c r="DL366" s="13"/>
      <c r="DM366" s="13"/>
      <c r="DN366" s="13"/>
      <c r="DO366" s="13"/>
      <c r="DP366" s="13"/>
      <c r="DQ366" s="13"/>
      <c r="DR366" s="13"/>
      <c r="DS366" s="13"/>
      <c r="DT366" s="13"/>
      <c r="DU366" s="13"/>
      <c r="DV366" s="13"/>
      <c r="DW366" s="13"/>
      <c r="DX366" s="13"/>
      <c r="DY366" s="13"/>
      <c r="DZ366" s="13"/>
      <c r="EA366" s="13"/>
      <c r="EB366" s="13"/>
      <c r="EC366" s="13"/>
      <c r="ED366" s="13"/>
      <c r="EE366" s="13"/>
      <c r="EF366" s="13"/>
      <c r="EG366" s="13"/>
      <c r="EH366" s="13"/>
      <c r="EI366" s="13"/>
      <c r="EJ366" s="13"/>
      <c r="EK366" s="13"/>
      <c r="EL366" s="13"/>
      <c r="EM366" s="13"/>
      <c r="EN366" s="13"/>
      <c r="EO366" s="13"/>
      <c r="EP366" s="13"/>
      <c r="EQ366" s="13"/>
      <c r="ER366" s="13"/>
      <c r="ES366" s="13"/>
      <c r="ET366" s="13"/>
      <c r="EU366" s="13"/>
      <c r="EV366" s="13"/>
      <c r="EW366" s="13"/>
      <c r="EX366" s="13"/>
      <c r="EY366" s="13"/>
      <c r="EZ366" s="13"/>
      <c r="FA366" s="13"/>
      <c r="FB366" s="13"/>
      <c r="FC366" s="13"/>
      <c r="FD366" s="13"/>
      <c r="FE366" s="13"/>
      <c r="FF366" s="13"/>
      <c r="FG366" s="13"/>
      <c r="FH366" s="13"/>
      <c r="FI366" s="13"/>
      <c r="FJ366" s="13"/>
      <c r="FK366" s="13"/>
      <c r="FL366" s="13"/>
      <c r="FM366" s="13"/>
      <c r="FN366" s="13"/>
      <c r="FO366" s="13"/>
      <c r="FP366" s="13"/>
      <c r="FQ366" s="13"/>
      <c r="FR366" s="13"/>
      <c r="FS366" s="13"/>
      <c r="FT366" s="13"/>
      <c r="FU366" s="13"/>
      <c r="FV366" s="13"/>
      <c r="FW366" s="13"/>
      <c r="FX366" s="13"/>
      <c r="FY366" s="13"/>
      <c r="FZ366" s="13"/>
      <c r="GA366" s="13"/>
      <c r="GB366" s="13"/>
      <c r="GC366" s="13"/>
      <c r="GD366" s="13"/>
      <c r="GE366" s="13"/>
      <c r="GF366" s="13"/>
      <c r="GG366" s="13"/>
      <c r="GH366" s="13"/>
      <c r="GI366" s="13"/>
      <c r="GJ366" s="13"/>
      <c r="GK366" s="13"/>
      <c r="GL366" s="13"/>
      <c r="GM366" s="13"/>
      <c r="GN366" s="13"/>
      <c r="GO366" s="13"/>
      <c r="GP366" s="13"/>
      <c r="GQ366" s="13"/>
      <c r="GR366" s="13"/>
      <c r="GS366" s="13"/>
      <c r="GT366" s="13"/>
      <c r="GU366" s="13"/>
      <c r="GV366" s="13"/>
      <c r="GW366" s="13"/>
      <c r="GX366" s="13"/>
      <c r="GY366" s="13"/>
      <c r="GZ366" s="13"/>
      <c r="HA366" s="13"/>
      <c r="HB366" s="13"/>
      <c r="HC366" s="13"/>
      <c r="HD366" s="13"/>
      <c r="HE366" s="13"/>
      <c r="HF366" s="13"/>
      <c r="HG366" s="13"/>
      <c r="HH366" s="13"/>
      <c r="HI366" s="13"/>
      <c r="HJ366" s="13"/>
      <c r="HK366" s="13"/>
      <c r="HL366" s="13"/>
      <c r="HM366" s="13"/>
      <c r="HN366" s="13"/>
      <c r="HO366" s="13"/>
      <c r="HP366" s="13"/>
      <c r="HQ366" s="13"/>
      <c r="HR366" s="13"/>
      <c r="HS366" s="13"/>
      <c r="HT366" s="13"/>
      <c r="HU366" s="13"/>
      <c r="HV366" s="13"/>
      <c r="HW366" s="13"/>
      <c r="HX366" s="13"/>
      <c r="HY366" s="13"/>
      <c r="HZ366" s="13"/>
      <c r="IA366" s="13"/>
      <c r="IB366" s="13"/>
      <c r="IC366" s="13"/>
      <c r="ID366" s="13"/>
      <c r="IE366" s="13"/>
      <c r="IF366" s="13"/>
      <c r="IG366" s="13"/>
      <c r="IH366" s="13"/>
      <c r="II366" s="13"/>
      <c r="IJ366" s="13"/>
      <c r="IK366" s="13"/>
      <c r="IL366" s="13"/>
      <c r="IM366" s="13"/>
    </row>
    <row r="367" spans="1:247" s="10" customFormat="1" ht="45" x14ac:dyDescent="0.25">
      <c r="A367" s="18">
        <v>1</v>
      </c>
      <c r="B367" s="199" t="s">
        <v>109</v>
      </c>
      <c r="C367" s="332">
        <f t="shared" si="132"/>
        <v>278</v>
      </c>
      <c r="D367" s="332">
        <f t="shared" si="132"/>
        <v>185</v>
      </c>
      <c r="E367" s="332">
        <f t="shared" si="132"/>
        <v>30</v>
      </c>
      <c r="F367" s="332">
        <f t="shared" si="132"/>
        <v>16.216216216216218</v>
      </c>
      <c r="G367" s="522">
        <f t="shared" si="132"/>
        <v>272.48447999999996</v>
      </c>
      <c r="H367" s="522">
        <f t="shared" si="132"/>
        <v>181.66</v>
      </c>
      <c r="I367" s="522">
        <f t="shared" si="132"/>
        <v>36.786360000000002</v>
      </c>
      <c r="J367" s="522">
        <f t="shared" si="127"/>
        <v>20.250115600572499</v>
      </c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  <c r="AY367" s="13"/>
      <c r="AZ367" s="13"/>
      <c r="BA367" s="13"/>
      <c r="BB367" s="13"/>
      <c r="BC367" s="13"/>
      <c r="BD367" s="13"/>
      <c r="BE367" s="13"/>
      <c r="BF367" s="13"/>
      <c r="BG367" s="13"/>
      <c r="BH367" s="13"/>
      <c r="BI367" s="13"/>
      <c r="BJ367" s="13"/>
      <c r="BK367" s="13"/>
      <c r="BL367" s="13"/>
      <c r="BM367" s="13"/>
      <c r="BN367" s="13"/>
      <c r="BO367" s="13"/>
      <c r="BP367" s="13"/>
      <c r="BQ367" s="13"/>
      <c r="BR367" s="13"/>
      <c r="BS367" s="13"/>
      <c r="BT367" s="13"/>
      <c r="BU367" s="13"/>
      <c r="BV367" s="13"/>
      <c r="BW367" s="13"/>
      <c r="BX367" s="13"/>
      <c r="BY367" s="13"/>
      <c r="BZ367" s="13"/>
      <c r="CA367" s="13"/>
      <c r="CB367" s="13"/>
      <c r="CC367" s="13"/>
      <c r="CD367" s="13"/>
      <c r="CE367" s="13"/>
      <c r="CF367" s="13"/>
      <c r="CG367" s="13"/>
      <c r="CH367" s="13"/>
      <c r="CI367" s="13"/>
      <c r="CJ367" s="13"/>
      <c r="CK367" s="13"/>
      <c r="CL367" s="13"/>
      <c r="CM367" s="13"/>
      <c r="CN367" s="13"/>
      <c r="CO367" s="13"/>
      <c r="CP367" s="13"/>
      <c r="CQ367" s="13"/>
      <c r="CR367" s="13"/>
      <c r="CS367" s="13"/>
      <c r="CT367" s="13"/>
      <c r="CU367" s="13"/>
      <c r="CV367" s="13"/>
      <c r="CW367" s="13"/>
      <c r="CX367" s="13"/>
      <c r="CY367" s="13"/>
      <c r="CZ367" s="13"/>
      <c r="DA367" s="13"/>
      <c r="DB367" s="13"/>
      <c r="DC367" s="13"/>
      <c r="DD367" s="13"/>
      <c r="DE367" s="13"/>
      <c r="DF367" s="13"/>
      <c r="DG367" s="13"/>
      <c r="DH367" s="13"/>
      <c r="DI367" s="13"/>
      <c r="DJ367" s="13"/>
      <c r="DK367" s="13"/>
      <c r="DL367" s="13"/>
      <c r="DM367" s="13"/>
      <c r="DN367" s="13"/>
      <c r="DO367" s="13"/>
      <c r="DP367" s="13"/>
      <c r="DQ367" s="13"/>
      <c r="DR367" s="13"/>
      <c r="DS367" s="13"/>
      <c r="DT367" s="13"/>
      <c r="DU367" s="13"/>
      <c r="DV367" s="13"/>
      <c r="DW367" s="13"/>
      <c r="DX367" s="13"/>
      <c r="DY367" s="13"/>
      <c r="DZ367" s="13"/>
      <c r="EA367" s="13"/>
      <c r="EB367" s="13"/>
      <c r="EC367" s="13"/>
      <c r="ED367" s="13"/>
      <c r="EE367" s="13"/>
      <c r="EF367" s="13"/>
      <c r="EG367" s="13"/>
      <c r="EH367" s="13"/>
      <c r="EI367" s="13"/>
      <c r="EJ367" s="13"/>
      <c r="EK367" s="13"/>
      <c r="EL367" s="13"/>
      <c r="EM367" s="13"/>
      <c r="EN367" s="13"/>
      <c r="EO367" s="13"/>
      <c r="EP367" s="13"/>
      <c r="EQ367" s="13"/>
      <c r="ER367" s="13"/>
      <c r="ES367" s="13"/>
      <c r="ET367" s="13"/>
      <c r="EU367" s="13"/>
      <c r="EV367" s="13"/>
      <c r="EW367" s="13"/>
      <c r="EX367" s="13"/>
      <c r="EY367" s="13"/>
      <c r="EZ367" s="13"/>
      <c r="FA367" s="13"/>
      <c r="FB367" s="13"/>
      <c r="FC367" s="13"/>
      <c r="FD367" s="13"/>
      <c r="FE367" s="13"/>
      <c r="FF367" s="13"/>
      <c r="FG367" s="13"/>
      <c r="FH367" s="13"/>
      <c r="FI367" s="13"/>
      <c r="FJ367" s="13"/>
      <c r="FK367" s="13"/>
      <c r="FL367" s="13"/>
      <c r="FM367" s="13"/>
      <c r="FN367" s="13"/>
      <c r="FO367" s="13"/>
      <c r="FP367" s="13"/>
      <c r="FQ367" s="13"/>
      <c r="FR367" s="13"/>
      <c r="FS367" s="13"/>
      <c r="FT367" s="13"/>
      <c r="FU367" s="13"/>
      <c r="FV367" s="13"/>
      <c r="FW367" s="13"/>
      <c r="FX367" s="13"/>
      <c r="FY367" s="13"/>
      <c r="FZ367" s="13"/>
      <c r="GA367" s="13"/>
      <c r="GB367" s="13"/>
      <c r="GC367" s="13"/>
      <c r="GD367" s="13"/>
      <c r="GE367" s="13"/>
      <c r="GF367" s="13"/>
      <c r="GG367" s="13"/>
      <c r="GH367" s="13"/>
      <c r="GI367" s="13"/>
      <c r="GJ367" s="13"/>
      <c r="GK367" s="13"/>
      <c r="GL367" s="13"/>
      <c r="GM367" s="13"/>
      <c r="GN367" s="13"/>
      <c r="GO367" s="13"/>
      <c r="GP367" s="13"/>
      <c r="GQ367" s="13"/>
      <c r="GR367" s="13"/>
      <c r="GS367" s="13"/>
      <c r="GT367" s="13"/>
      <c r="GU367" s="13"/>
      <c r="GV367" s="13"/>
      <c r="GW367" s="13"/>
      <c r="GX367" s="13"/>
      <c r="GY367" s="13"/>
      <c r="GZ367" s="13"/>
      <c r="HA367" s="13"/>
      <c r="HB367" s="13"/>
      <c r="HC367" s="13"/>
      <c r="HD367" s="13"/>
      <c r="HE367" s="13"/>
      <c r="HF367" s="13"/>
      <c r="HG367" s="13"/>
      <c r="HH367" s="13"/>
      <c r="HI367" s="13"/>
      <c r="HJ367" s="13"/>
      <c r="HK367" s="13"/>
      <c r="HL367" s="13"/>
      <c r="HM367" s="13"/>
      <c r="HN367" s="13"/>
      <c r="HO367" s="13"/>
      <c r="HP367" s="13"/>
      <c r="HQ367" s="13"/>
      <c r="HR367" s="13"/>
      <c r="HS367" s="13"/>
      <c r="HT367" s="13"/>
      <c r="HU367" s="13"/>
      <c r="HV367" s="13"/>
      <c r="HW367" s="13"/>
      <c r="HX367" s="13"/>
      <c r="HY367" s="13"/>
      <c r="HZ367" s="13"/>
      <c r="IA367" s="13"/>
      <c r="IB367" s="13"/>
      <c r="IC367" s="13"/>
      <c r="ID367" s="13"/>
      <c r="IE367" s="13"/>
      <c r="IF367" s="13"/>
      <c r="IG367" s="13"/>
      <c r="IH367" s="13"/>
      <c r="II367" s="13"/>
      <c r="IJ367" s="13"/>
      <c r="IK367" s="13"/>
      <c r="IL367" s="13"/>
      <c r="IM367" s="13"/>
    </row>
    <row r="368" spans="1:247" s="10" customFormat="1" ht="30.75" thickBot="1" x14ac:dyDescent="0.3">
      <c r="A368" s="18"/>
      <c r="B368" s="710" t="s">
        <v>123</v>
      </c>
      <c r="C368" s="711">
        <f t="shared" si="132"/>
        <v>990</v>
      </c>
      <c r="D368" s="711">
        <f t="shared" si="132"/>
        <v>660</v>
      </c>
      <c r="E368" s="711">
        <f t="shared" si="132"/>
        <v>580</v>
      </c>
      <c r="F368" s="711">
        <f t="shared" si="132"/>
        <v>87.878787878787875</v>
      </c>
      <c r="G368" s="712">
        <f t="shared" si="132"/>
        <v>963.48779999999999</v>
      </c>
      <c r="H368" s="712">
        <f t="shared" si="132"/>
        <v>642.33000000000004</v>
      </c>
      <c r="I368" s="712">
        <f t="shared" si="132"/>
        <v>562.84942000000001</v>
      </c>
      <c r="J368" s="712">
        <f>I368/H368*100</f>
        <v>87.626207712546517</v>
      </c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  <c r="AY368" s="13"/>
      <c r="AZ368" s="13"/>
      <c r="BA368" s="13"/>
      <c r="BB368" s="13"/>
      <c r="BC368" s="13"/>
      <c r="BD368" s="13"/>
      <c r="BE368" s="13"/>
      <c r="BF368" s="13"/>
      <c r="BG368" s="13"/>
      <c r="BH368" s="13"/>
      <c r="BI368" s="13"/>
      <c r="BJ368" s="13"/>
      <c r="BK368" s="13"/>
      <c r="BL368" s="13"/>
      <c r="BM368" s="13"/>
      <c r="BN368" s="13"/>
      <c r="BO368" s="13"/>
      <c r="BP368" s="13"/>
      <c r="BQ368" s="13"/>
      <c r="BR368" s="13"/>
      <c r="BS368" s="13"/>
      <c r="BT368" s="13"/>
      <c r="BU368" s="13"/>
      <c r="BV368" s="13"/>
      <c r="BW368" s="13"/>
      <c r="BX368" s="13"/>
      <c r="BY368" s="13"/>
      <c r="BZ368" s="13"/>
      <c r="CA368" s="13"/>
      <c r="CB368" s="13"/>
      <c r="CC368" s="13"/>
      <c r="CD368" s="13"/>
      <c r="CE368" s="13"/>
      <c r="CF368" s="13"/>
      <c r="CG368" s="13"/>
      <c r="CH368" s="13"/>
      <c r="CI368" s="13"/>
      <c r="CJ368" s="13"/>
      <c r="CK368" s="13"/>
      <c r="CL368" s="13"/>
      <c r="CM368" s="13"/>
      <c r="CN368" s="13"/>
      <c r="CO368" s="13"/>
      <c r="CP368" s="13"/>
      <c r="CQ368" s="13"/>
      <c r="CR368" s="13"/>
      <c r="CS368" s="13"/>
      <c r="CT368" s="13"/>
      <c r="CU368" s="13"/>
      <c r="CV368" s="13"/>
      <c r="CW368" s="13"/>
      <c r="CX368" s="13"/>
      <c r="CY368" s="13"/>
      <c r="CZ368" s="13"/>
      <c r="DA368" s="13"/>
      <c r="DB368" s="13"/>
      <c r="DC368" s="13"/>
      <c r="DD368" s="13"/>
      <c r="DE368" s="13"/>
      <c r="DF368" s="13"/>
      <c r="DG368" s="13"/>
      <c r="DH368" s="13"/>
      <c r="DI368" s="13"/>
      <c r="DJ368" s="13"/>
      <c r="DK368" s="13"/>
      <c r="DL368" s="13"/>
      <c r="DM368" s="13"/>
      <c r="DN368" s="13"/>
      <c r="DO368" s="13"/>
      <c r="DP368" s="13"/>
      <c r="DQ368" s="13"/>
      <c r="DR368" s="13"/>
      <c r="DS368" s="13"/>
      <c r="DT368" s="13"/>
      <c r="DU368" s="13"/>
      <c r="DV368" s="13"/>
      <c r="DW368" s="13"/>
      <c r="DX368" s="13"/>
      <c r="DY368" s="13"/>
      <c r="DZ368" s="13"/>
      <c r="EA368" s="13"/>
      <c r="EB368" s="13"/>
      <c r="EC368" s="13"/>
      <c r="ED368" s="13"/>
      <c r="EE368" s="13"/>
      <c r="EF368" s="13"/>
      <c r="EG368" s="13"/>
      <c r="EH368" s="13"/>
      <c r="EI368" s="13"/>
      <c r="EJ368" s="13"/>
      <c r="EK368" s="13"/>
      <c r="EL368" s="13"/>
      <c r="EM368" s="13"/>
      <c r="EN368" s="13"/>
      <c r="EO368" s="13"/>
      <c r="EP368" s="13"/>
      <c r="EQ368" s="13"/>
      <c r="ER368" s="13"/>
      <c r="ES368" s="13"/>
      <c r="ET368" s="13"/>
      <c r="EU368" s="13"/>
      <c r="EV368" s="13"/>
      <c r="EW368" s="13"/>
      <c r="EX368" s="13"/>
      <c r="EY368" s="13"/>
      <c r="EZ368" s="13"/>
      <c r="FA368" s="13"/>
      <c r="FB368" s="13"/>
      <c r="FC368" s="13"/>
      <c r="FD368" s="13"/>
      <c r="FE368" s="13"/>
      <c r="FF368" s="13"/>
      <c r="FG368" s="13"/>
      <c r="FH368" s="13"/>
      <c r="FI368" s="13"/>
      <c r="FJ368" s="13"/>
      <c r="FK368" s="13"/>
      <c r="FL368" s="13"/>
      <c r="FM368" s="13"/>
      <c r="FN368" s="13"/>
      <c r="FO368" s="13"/>
      <c r="FP368" s="13"/>
      <c r="FQ368" s="13"/>
      <c r="FR368" s="13"/>
      <c r="FS368" s="13"/>
      <c r="FT368" s="13"/>
      <c r="FU368" s="13"/>
      <c r="FV368" s="13"/>
      <c r="FW368" s="13"/>
      <c r="FX368" s="13"/>
      <c r="FY368" s="13"/>
      <c r="FZ368" s="13"/>
      <c r="GA368" s="13"/>
      <c r="GB368" s="13"/>
      <c r="GC368" s="13"/>
      <c r="GD368" s="13"/>
      <c r="GE368" s="13"/>
      <c r="GF368" s="13"/>
      <c r="GG368" s="13"/>
      <c r="GH368" s="13"/>
      <c r="GI368" s="13"/>
      <c r="GJ368" s="13"/>
      <c r="GK368" s="13"/>
      <c r="GL368" s="13"/>
      <c r="GM368" s="13"/>
      <c r="GN368" s="13"/>
      <c r="GO368" s="13"/>
      <c r="GP368" s="13"/>
      <c r="GQ368" s="13"/>
      <c r="GR368" s="13"/>
      <c r="GS368" s="13"/>
      <c r="GT368" s="13"/>
      <c r="GU368" s="13"/>
      <c r="GV368" s="13"/>
      <c r="GW368" s="13"/>
      <c r="GX368" s="13"/>
      <c r="GY368" s="13"/>
      <c r="GZ368" s="13"/>
      <c r="HA368" s="13"/>
      <c r="HB368" s="13"/>
      <c r="HC368" s="13"/>
      <c r="HD368" s="13"/>
      <c r="HE368" s="13"/>
      <c r="HF368" s="13"/>
      <c r="HG368" s="13"/>
      <c r="HH368" s="13"/>
      <c r="HI368" s="13"/>
      <c r="HJ368" s="13"/>
      <c r="HK368" s="13"/>
      <c r="HL368" s="13"/>
      <c r="HM368" s="13"/>
      <c r="HN368" s="13"/>
      <c r="HO368" s="13"/>
      <c r="HP368" s="13"/>
      <c r="HQ368" s="13"/>
      <c r="HR368" s="13"/>
      <c r="HS368" s="13"/>
      <c r="HT368" s="13"/>
      <c r="HU368" s="13"/>
      <c r="HV368" s="13"/>
      <c r="HW368" s="13"/>
      <c r="HX368" s="13"/>
      <c r="HY368" s="13"/>
      <c r="HZ368" s="13"/>
      <c r="IA368" s="13"/>
      <c r="IB368" s="13"/>
      <c r="IC368" s="13"/>
      <c r="ID368" s="13"/>
      <c r="IE368" s="13"/>
      <c r="IF368" s="13"/>
      <c r="IG368" s="13"/>
      <c r="IH368" s="13"/>
      <c r="II368" s="13"/>
      <c r="IJ368" s="13"/>
      <c r="IK368" s="13"/>
      <c r="IL368" s="13"/>
      <c r="IM368" s="13"/>
    </row>
    <row r="369" spans="1:247" ht="15.75" thickBot="1" x14ac:dyDescent="0.3">
      <c r="A369" s="18">
        <v>1</v>
      </c>
      <c r="B369" s="713" t="s">
        <v>107</v>
      </c>
      <c r="C369" s="714">
        <f t="shared" si="132"/>
        <v>0</v>
      </c>
      <c r="D369" s="714">
        <f t="shared" si="132"/>
        <v>0</v>
      </c>
      <c r="E369" s="714">
        <f t="shared" si="132"/>
        <v>0</v>
      </c>
      <c r="F369" s="714">
        <f t="shared" si="132"/>
        <v>0</v>
      </c>
      <c r="G369" s="715">
        <f t="shared" si="132"/>
        <v>3243.4449100000002</v>
      </c>
      <c r="H369" s="715">
        <f t="shared" si="132"/>
        <v>2162.29</v>
      </c>
      <c r="I369" s="715">
        <f t="shared" si="132"/>
        <v>1693.2238900000002</v>
      </c>
      <c r="J369" s="715">
        <f>J357</f>
        <v>78.306975012602393</v>
      </c>
    </row>
    <row r="370" spans="1:247" s="153" customFormat="1" x14ac:dyDescent="0.25">
      <c r="K370" s="175"/>
      <c r="L370" s="175"/>
      <c r="M370" s="175"/>
      <c r="N370" s="175"/>
      <c r="O370" s="175"/>
      <c r="P370" s="175"/>
      <c r="Q370" s="175"/>
      <c r="R370" s="175"/>
      <c r="S370" s="175"/>
      <c r="T370" s="175"/>
      <c r="U370" s="175"/>
      <c r="V370" s="175"/>
      <c r="W370" s="175"/>
      <c r="X370" s="175"/>
      <c r="Y370" s="175"/>
      <c r="Z370" s="175"/>
      <c r="AA370" s="175"/>
      <c r="AB370" s="175"/>
      <c r="AC370" s="175"/>
      <c r="AD370" s="175"/>
      <c r="AE370" s="175"/>
      <c r="AF370" s="175"/>
      <c r="AG370" s="175"/>
      <c r="AH370" s="175"/>
      <c r="AI370" s="175"/>
      <c r="AJ370" s="175"/>
      <c r="AK370" s="175"/>
      <c r="AL370" s="175"/>
      <c r="AM370" s="175"/>
      <c r="AN370" s="175"/>
      <c r="AO370" s="175"/>
      <c r="AP370" s="175"/>
      <c r="AQ370" s="175"/>
      <c r="AR370" s="175"/>
      <c r="AS370" s="175"/>
      <c r="AT370" s="175"/>
      <c r="AU370" s="175"/>
      <c r="AV370" s="175"/>
      <c r="AW370" s="175"/>
      <c r="AX370" s="175"/>
      <c r="AY370" s="175"/>
      <c r="AZ370" s="175"/>
      <c r="BA370" s="175"/>
      <c r="BB370" s="175"/>
      <c r="BC370" s="175"/>
      <c r="BD370" s="175"/>
      <c r="BE370" s="175"/>
      <c r="BF370" s="175"/>
      <c r="BG370" s="175"/>
      <c r="BH370" s="175"/>
      <c r="BI370" s="175"/>
      <c r="BJ370" s="175"/>
      <c r="BK370" s="175"/>
      <c r="BL370" s="175"/>
      <c r="BM370" s="175"/>
      <c r="BN370" s="175"/>
      <c r="BO370" s="175"/>
      <c r="BP370" s="175"/>
      <c r="BQ370" s="175"/>
      <c r="BR370" s="175"/>
      <c r="BS370" s="175"/>
      <c r="BT370" s="175"/>
      <c r="BU370" s="175"/>
      <c r="BV370" s="175"/>
      <c r="BW370" s="175"/>
      <c r="BX370" s="175"/>
      <c r="BY370" s="175"/>
      <c r="BZ370" s="175"/>
      <c r="CA370" s="175"/>
      <c r="CB370" s="175"/>
      <c r="CC370" s="175"/>
      <c r="CD370" s="175"/>
      <c r="CE370" s="175"/>
      <c r="CF370" s="175"/>
      <c r="CG370" s="175"/>
      <c r="CH370" s="175"/>
      <c r="CI370" s="175"/>
      <c r="CJ370" s="175"/>
      <c r="CK370" s="175"/>
      <c r="CL370" s="175"/>
      <c r="CM370" s="175"/>
      <c r="CN370" s="175"/>
      <c r="CO370" s="175"/>
      <c r="CP370" s="175"/>
      <c r="CQ370" s="175"/>
      <c r="CR370" s="175"/>
      <c r="CS370" s="175"/>
      <c r="CT370" s="175"/>
      <c r="CU370" s="175"/>
      <c r="CV370" s="175"/>
      <c r="CW370" s="175"/>
      <c r="CX370" s="175"/>
      <c r="CY370" s="175"/>
      <c r="CZ370" s="175"/>
      <c r="DA370" s="175"/>
      <c r="DB370" s="175"/>
      <c r="DC370" s="175"/>
      <c r="DD370" s="175"/>
      <c r="DE370" s="175"/>
      <c r="DF370" s="175"/>
      <c r="DG370" s="175"/>
      <c r="DH370" s="175"/>
      <c r="DI370" s="175"/>
      <c r="DJ370" s="175"/>
      <c r="DK370" s="175"/>
      <c r="DL370" s="175"/>
      <c r="DM370" s="175"/>
      <c r="DN370" s="175"/>
      <c r="DO370" s="175"/>
      <c r="DP370" s="175"/>
      <c r="DQ370" s="175"/>
      <c r="DR370" s="175"/>
      <c r="DS370" s="175"/>
      <c r="DT370" s="175"/>
      <c r="DU370" s="175"/>
      <c r="DV370" s="175"/>
      <c r="DW370" s="175"/>
      <c r="DX370" s="175"/>
      <c r="DY370" s="175"/>
      <c r="DZ370" s="175"/>
      <c r="EA370" s="175"/>
      <c r="EB370" s="175"/>
      <c r="EC370" s="175"/>
      <c r="ED370" s="175"/>
      <c r="EE370" s="175"/>
      <c r="EF370" s="175"/>
      <c r="EG370" s="175"/>
      <c r="EH370" s="175"/>
      <c r="EI370" s="175"/>
      <c r="EJ370" s="175"/>
      <c r="EK370" s="175"/>
      <c r="EL370" s="175"/>
      <c r="EM370" s="175"/>
      <c r="EN370" s="175"/>
      <c r="EO370" s="175"/>
      <c r="EP370" s="175"/>
      <c r="EQ370" s="175"/>
      <c r="ER370" s="175"/>
      <c r="ES370" s="175"/>
      <c r="ET370" s="175"/>
      <c r="EU370" s="175"/>
      <c r="EV370" s="175"/>
      <c r="EW370" s="175"/>
      <c r="EX370" s="175"/>
      <c r="EY370" s="175"/>
      <c r="EZ370" s="175"/>
      <c r="FA370" s="175"/>
      <c r="FB370" s="175"/>
      <c r="FC370" s="175"/>
      <c r="FD370" s="175"/>
      <c r="FE370" s="175"/>
      <c r="FF370" s="175"/>
      <c r="FG370" s="175"/>
      <c r="FH370" s="175"/>
      <c r="FI370" s="175"/>
      <c r="FJ370" s="175"/>
      <c r="FK370" s="175"/>
      <c r="FL370" s="175"/>
      <c r="FM370" s="175"/>
      <c r="FN370" s="175"/>
      <c r="FO370" s="175"/>
      <c r="FP370" s="175"/>
      <c r="FQ370" s="175"/>
      <c r="FR370" s="175"/>
      <c r="FS370" s="175"/>
      <c r="FT370" s="175"/>
      <c r="FU370" s="175"/>
      <c r="FV370" s="175"/>
      <c r="FW370" s="175"/>
      <c r="FX370" s="175"/>
      <c r="FY370" s="175"/>
      <c r="FZ370" s="175"/>
      <c r="GA370" s="175"/>
      <c r="GB370" s="175"/>
      <c r="GC370" s="175"/>
      <c r="GD370" s="175"/>
      <c r="GE370" s="175"/>
      <c r="GF370" s="175"/>
      <c r="GG370" s="175"/>
      <c r="GH370" s="175"/>
      <c r="GI370" s="175"/>
      <c r="GJ370" s="175"/>
      <c r="GK370" s="175"/>
      <c r="GL370" s="175"/>
      <c r="GM370" s="175"/>
      <c r="GN370" s="175"/>
      <c r="GO370" s="175"/>
      <c r="GP370" s="175"/>
      <c r="GQ370" s="175"/>
      <c r="GR370" s="175"/>
      <c r="GS370" s="175"/>
      <c r="GT370" s="175"/>
      <c r="GU370" s="175"/>
      <c r="GV370" s="175"/>
      <c r="GW370" s="175"/>
      <c r="GX370" s="175"/>
      <c r="GY370" s="175"/>
      <c r="GZ370" s="175"/>
      <c r="HA370" s="175"/>
      <c r="HB370" s="175"/>
      <c r="HC370" s="175"/>
      <c r="HD370" s="175"/>
      <c r="HE370" s="175"/>
      <c r="HF370" s="175"/>
      <c r="HG370" s="175"/>
      <c r="HH370" s="175"/>
      <c r="HI370" s="175"/>
      <c r="HJ370" s="175"/>
      <c r="HK370" s="175"/>
      <c r="HL370" s="175"/>
      <c r="HM370" s="175"/>
      <c r="HN370" s="175"/>
      <c r="HO370" s="175"/>
      <c r="HP370" s="175"/>
      <c r="HQ370" s="175"/>
      <c r="HR370" s="175"/>
      <c r="HS370" s="175"/>
      <c r="HT370" s="175"/>
      <c r="HU370" s="175"/>
      <c r="HV370" s="175"/>
      <c r="HW370" s="175"/>
      <c r="HX370" s="175"/>
      <c r="HY370" s="175"/>
      <c r="HZ370" s="175"/>
      <c r="IA370" s="175"/>
      <c r="IB370" s="175"/>
      <c r="IC370" s="175"/>
      <c r="ID370" s="175"/>
      <c r="IE370" s="175"/>
      <c r="IF370" s="175"/>
      <c r="IG370" s="175"/>
      <c r="IH370" s="175"/>
      <c r="II370" s="175"/>
      <c r="IJ370" s="175"/>
      <c r="IK370" s="175"/>
      <c r="IL370" s="175"/>
      <c r="IM370" s="175"/>
    </row>
    <row r="371" spans="1:247" s="153" customFormat="1" x14ac:dyDescent="0.25">
      <c r="K371" s="175"/>
      <c r="L371" s="175"/>
      <c r="M371" s="175"/>
      <c r="N371" s="175"/>
      <c r="O371" s="175"/>
      <c r="P371" s="175"/>
      <c r="Q371" s="175"/>
      <c r="R371" s="175"/>
      <c r="S371" s="175"/>
      <c r="T371" s="175"/>
      <c r="U371" s="175"/>
      <c r="V371" s="175"/>
      <c r="W371" s="175"/>
      <c r="X371" s="175"/>
      <c r="Y371" s="175"/>
      <c r="Z371" s="175"/>
      <c r="AA371" s="175"/>
      <c r="AB371" s="175"/>
      <c r="AC371" s="175"/>
      <c r="AD371" s="175"/>
      <c r="AE371" s="175"/>
      <c r="AF371" s="175"/>
      <c r="AG371" s="175"/>
      <c r="AH371" s="175"/>
      <c r="AI371" s="175"/>
      <c r="AJ371" s="175"/>
      <c r="AK371" s="175"/>
      <c r="AL371" s="175"/>
      <c r="AM371" s="175"/>
      <c r="AN371" s="175"/>
      <c r="AO371" s="175"/>
      <c r="AP371" s="175"/>
      <c r="AQ371" s="175"/>
      <c r="AR371" s="175"/>
      <c r="AS371" s="175"/>
      <c r="AT371" s="175"/>
      <c r="AU371" s="175"/>
      <c r="AV371" s="175"/>
      <c r="AW371" s="175"/>
      <c r="AX371" s="175"/>
      <c r="AY371" s="175"/>
      <c r="AZ371" s="175"/>
      <c r="BA371" s="175"/>
      <c r="BB371" s="175"/>
      <c r="BC371" s="175"/>
      <c r="BD371" s="175"/>
      <c r="BE371" s="175"/>
      <c r="BF371" s="175"/>
      <c r="BG371" s="175"/>
      <c r="BH371" s="175"/>
      <c r="BI371" s="175"/>
      <c r="BJ371" s="175"/>
      <c r="BK371" s="175"/>
      <c r="BL371" s="175"/>
      <c r="BM371" s="175"/>
      <c r="BN371" s="175"/>
      <c r="BO371" s="175"/>
      <c r="BP371" s="175"/>
      <c r="BQ371" s="175"/>
      <c r="BR371" s="175"/>
      <c r="BS371" s="175"/>
      <c r="BT371" s="175"/>
      <c r="BU371" s="175"/>
      <c r="BV371" s="175"/>
      <c r="BW371" s="175"/>
      <c r="BX371" s="175"/>
      <c r="BY371" s="175"/>
      <c r="BZ371" s="175"/>
      <c r="CA371" s="175"/>
      <c r="CB371" s="175"/>
      <c r="CC371" s="175"/>
      <c r="CD371" s="175"/>
      <c r="CE371" s="175"/>
      <c r="CF371" s="175"/>
      <c r="CG371" s="175"/>
      <c r="CH371" s="175"/>
      <c r="CI371" s="175"/>
      <c r="CJ371" s="175"/>
      <c r="CK371" s="175"/>
      <c r="CL371" s="175"/>
      <c r="CM371" s="175"/>
      <c r="CN371" s="175"/>
      <c r="CO371" s="175"/>
      <c r="CP371" s="175"/>
      <c r="CQ371" s="175"/>
      <c r="CR371" s="175"/>
      <c r="CS371" s="175"/>
      <c r="CT371" s="175"/>
      <c r="CU371" s="175"/>
      <c r="CV371" s="175"/>
      <c r="CW371" s="175"/>
      <c r="CX371" s="175"/>
      <c r="CY371" s="175"/>
      <c r="CZ371" s="175"/>
      <c r="DA371" s="175"/>
      <c r="DB371" s="175"/>
      <c r="DC371" s="175"/>
      <c r="DD371" s="175"/>
      <c r="DE371" s="175"/>
      <c r="DF371" s="175"/>
      <c r="DG371" s="175"/>
      <c r="DH371" s="175"/>
      <c r="DI371" s="175"/>
      <c r="DJ371" s="175"/>
      <c r="DK371" s="175"/>
      <c r="DL371" s="175"/>
      <c r="DM371" s="175"/>
      <c r="DN371" s="175"/>
      <c r="DO371" s="175"/>
      <c r="DP371" s="175"/>
      <c r="DQ371" s="175"/>
      <c r="DR371" s="175"/>
      <c r="DS371" s="175"/>
      <c r="DT371" s="175"/>
      <c r="DU371" s="175"/>
      <c r="DV371" s="175"/>
      <c r="DW371" s="175"/>
      <c r="DX371" s="175"/>
      <c r="DY371" s="175"/>
      <c r="DZ371" s="175"/>
      <c r="EA371" s="175"/>
      <c r="EB371" s="175"/>
      <c r="EC371" s="175"/>
      <c r="ED371" s="175"/>
      <c r="EE371" s="175"/>
      <c r="EF371" s="175"/>
      <c r="EG371" s="175"/>
      <c r="EH371" s="175"/>
      <c r="EI371" s="175"/>
      <c r="EJ371" s="175"/>
      <c r="EK371" s="175"/>
      <c r="EL371" s="175"/>
      <c r="EM371" s="175"/>
      <c r="EN371" s="175"/>
      <c r="EO371" s="175"/>
      <c r="EP371" s="175"/>
      <c r="EQ371" s="175"/>
      <c r="ER371" s="175"/>
      <c r="ES371" s="175"/>
      <c r="ET371" s="175"/>
      <c r="EU371" s="175"/>
      <c r="EV371" s="175"/>
      <c r="EW371" s="175"/>
      <c r="EX371" s="175"/>
      <c r="EY371" s="175"/>
      <c r="EZ371" s="175"/>
      <c r="FA371" s="175"/>
      <c r="FB371" s="175"/>
      <c r="FC371" s="175"/>
      <c r="FD371" s="175"/>
      <c r="FE371" s="175"/>
      <c r="FF371" s="175"/>
      <c r="FG371" s="175"/>
      <c r="FH371" s="175"/>
      <c r="FI371" s="175"/>
      <c r="FJ371" s="175"/>
      <c r="FK371" s="175"/>
      <c r="FL371" s="175"/>
      <c r="FM371" s="175"/>
      <c r="FN371" s="175"/>
      <c r="FO371" s="175"/>
      <c r="FP371" s="175"/>
      <c r="FQ371" s="175"/>
      <c r="FR371" s="175"/>
      <c r="FS371" s="175"/>
      <c r="FT371" s="175"/>
      <c r="FU371" s="175"/>
      <c r="FV371" s="175"/>
      <c r="FW371" s="175"/>
      <c r="FX371" s="175"/>
      <c r="FY371" s="175"/>
      <c r="FZ371" s="175"/>
      <c r="GA371" s="175"/>
      <c r="GB371" s="175"/>
      <c r="GC371" s="175"/>
      <c r="GD371" s="175"/>
      <c r="GE371" s="175"/>
      <c r="GF371" s="175"/>
      <c r="GG371" s="175"/>
      <c r="GH371" s="175"/>
      <c r="GI371" s="175"/>
      <c r="GJ371" s="175"/>
      <c r="GK371" s="175"/>
      <c r="GL371" s="175"/>
      <c r="GM371" s="175"/>
      <c r="GN371" s="175"/>
      <c r="GO371" s="175"/>
      <c r="GP371" s="175"/>
      <c r="GQ371" s="175"/>
      <c r="GR371" s="175"/>
      <c r="GS371" s="175"/>
      <c r="GT371" s="175"/>
      <c r="GU371" s="175"/>
      <c r="GV371" s="175"/>
      <c r="GW371" s="175"/>
      <c r="GX371" s="175"/>
      <c r="GY371" s="175"/>
      <c r="GZ371" s="175"/>
      <c r="HA371" s="175"/>
      <c r="HB371" s="175"/>
      <c r="HC371" s="175"/>
      <c r="HD371" s="175"/>
      <c r="HE371" s="175"/>
      <c r="HF371" s="175"/>
      <c r="HG371" s="175"/>
      <c r="HH371" s="175"/>
      <c r="HI371" s="175"/>
      <c r="HJ371" s="175"/>
      <c r="HK371" s="175"/>
      <c r="HL371" s="175"/>
      <c r="HM371" s="175"/>
      <c r="HN371" s="175"/>
      <c r="HO371" s="175"/>
      <c r="HP371" s="175"/>
      <c r="HQ371" s="175"/>
      <c r="HR371" s="175"/>
      <c r="HS371" s="175"/>
      <c r="HT371" s="175"/>
      <c r="HU371" s="175"/>
      <c r="HV371" s="175"/>
      <c r="HW371" s="175"/>
      <c r="HX371" s="175"/>
      <c r="HY371" s="175"/>
      <c r="HZ371" s="175"/>
      <c r="IA371" s="175"/>
      <c r="IB371" s="175"/>
      <c r="IC371" s="175"/>
      <c r="ID371" s="175"/>
      <c r="IE371" s="175"/>
      <c r="IF371" s="175"/>
      <c r="IG371" s="175"/>
      <c r="IH371" s="175"/>
      <c r="II371" s="175"/>
      <c r="IJ371" s="175"/>
      <c r="IK371" s="175"/>
      <c r="IL371" s="175"/>
      <c r="IM371" s="175"/>
    </row>
    <row r="372" spans="1:247" s="153" customFormat="1" x14ac:dyDescent="0.25">
      <c r="K372" s="175"/>
      <c r="L372" s="175"/>
      <c r="M372" s="175"/>
      <c r="N372" s="175"/>
      <c r="O372" s="175"/>
      <c r="P372" s="175"/>
      <c r="Q372" s="175"/>
      <c r="R372" s="175"/>
      <c r="S372" s="175"/>
      <c r="T372" s="175"/>
      <c r="U372" s="175"/>
      <c r="V372" s="175"/>
      <c r="W372" s="175"/>
      <c r="X372" s="175"/>
      <c r="Y372" s="175"/>
      <c r="Z372" s="175"/>
      <c r="AA372" s="175"/>
      <c r="AB372" s="175"/>
      <c r="AC372" s="175"/>
      <c r="AD372" s="175"/>
      <c r="AE372" s="175"/>
      <c r="AF372" s="175"/>
      <c r="AG372" s="175"/>
      <c r="AH372" s="175"/>
      <c r="AI372" s="175"/>
      <c r="AJ372" s="175"/>
      <c r="AK372" s="175"/>
      <c r="AL372" s="175"/>
      <c r="AM372" s="175"/>
      <c r="AN372" s="175"/>
      <c r="AO372" s="175"/>
      <c r="AP372" s="175"/>
      <c r="AQ372" s="175"/>
      <c r="AR372" s="175"/>
      <c r="AS372" s="175"/>
      <c r="AT372" s="175"/>
      <c r="AU372" s="175"/>
      <c r="AV372" s="175"/>
      <c r="AW372" s="175"/>
      <c r="AX372" s="175"/>
      <c r="AY372" s="175"/>
      <c r="AZ372" s="175"/>
      <c r="BA372" s="175"/>
      <c r="BB372" s="175"/>
      <c r="BC372" s="175"/>
      <c r="BD372" s="175"/>
      <c r="BE372" s="175"/>
      <c r="BF372" s="175"/>
      <c r="BG372" s="175"/>
      <c r="BH372" s="175"/>
      <c r="BI372" s="175"/>
      <c r="BJ372" s="175"/>
      <c r="BK372" s="175"/>
      <c r="BL372" s="175"/>
      <c r="BM372" s="175"/>
      <c r="BN372" s="175"/>
      <c r="BO372" s="175"/>
      <c r="BP372" s="175"/>
      <c r="BQ372" s="175"/>
      <c r="BR372" s="175"/>
      <c r="BS372" s="175"/>
      <c r="BT372" s="175"/>
      <c r="BU372" s="175"/>
      <c r="BV372" s="175"/>
      <c r="BW372" s="175"/>
      <c r="BX372" s="175"/>
      <c r="BY372" s="175"/>
      <c r="BZ372" s="175"/>
      <c r="CA372" s="175"/>
      <c r="CB372" s="175"/>
      <c r="CC372" s="175"/>
      <c r="CD372" s="175"/>
      <c r="CE372" s="175"/>
      <c r="CF372" s="175"/>
      <c r="CG372" s="175"/>
      <c r="CH372" s="175"/>
      <c r="CI372" s="175"/>
      <c r="CJ372" s="175"/>
      <c r="CK372" s="175"/>
      <c r="CL372" s="175"/>
      <c r="CM372" s="175"/>
      <c r="CN372" s="175"/>
      <c r="CO372" s="175"/>
      <c r="CP372" s="175"/>
      <c r="CQ372" s="175"/>
      <c r="CR372" s="175"/>
      <c r="CS372" s="175"/>
      <c r="CT372" s="175"/>
      <c r="CU372" s="175"/>
      <c r="CV372" s="175"/>
      <c r="CW372" s="175"/>
      <c r="CX372" s="175"/>
      <c r="CY372" s="175"/>
      <c r="CZ372" s="175"/>
      <c r="DA372" s="175"/>
      <c r="DB372" s="175"/>
      <c r="DC372" s="175"/>
      <c r="DD372" s="175"/>
      <c r="DE372" s="175"/>
      <c r="DF372" s="175"/>
      <c r="DG372" s="175"/>
      <c r="DH372" s="175"/>
      <c r="DI372" s="175"/>
      <c r="DJ372" s="175"/>
      <c r="DK372" s="175"/>
      <c r="DL372" s="175"/>
      <c r="DM372" s="175"/>
      <c r="DN372" s="175"/>
      <c r="DO372" s="175"/>
      <c r="DP372" s="175"/>
      <c r="DQ372" s="175"/>
      <c r="DR372" s="175"/>
      <c r="DS372" s="175"/>
      <c r="DT372" s="175"/>
      <c r="DU372" s="175"/>
      <c r="DV372" s="175"/>
      <c r="DW372" s="175"/>
      <c r="DX372" s="175"/>
      <c r="DY372" s="175"/>
      <c r="DZ372" s="175"/>
      <c r="EA372" s="175"/>
      <c r="EB372" s="175"/>
      <c r="EC372" s="175"/>
      <c r="ED372" s="175"/>
      <c r="EE372" s="175"/>
      <c r="EF372" s="175"/>
      <c r="EG372" s="175"/>
      <c r="EH372" s="175"/>
      <c r="EI372" s="175"/>
      <c r="EJ372" s="175"/>
      <c r="EK372" s="175"/>
      <c r="EL372" s="175"/>
      <c r="EM372" s="175"/>
      <c r="EN372" s="175"/>
      <c r="EO372" s="175"/>
      <c r="EP372" s="175"/>
      <c r="EQ372" s="175"/>
      <c r="ER372" s="175"/>
      <c r="ES372" s="175"/>
      <c r="ET372" s="175"/>
      <c r="EU372" s="175"/>
      <c r="EV372" s="175"/>
      <c r="EW372" s="175"/>
      <c r="EX372" s="175"/>
      <c r="EY372" s="175"/>
      <c r="EZ372" s="175"/>
      <c r="FA372" s="175"/>
      <c r="FB372" s="175"/>
      <c r="FC372" s="175"/>
      <c r="FD372" s="175"/>
      <c r="FE372" s="175"/>
      <c r="FF372" s="175"/>
      <c r="FG372" s="175"/>
      <c r="FH372" s="175"/>
      <c r="FI372" s="175"/>
      <c r="FJ372" s="175"/>
      <c r="FK372" s="175"/>
      <c r="FL372" s="175"/>
      <c r="FM372" s="175"/>
      <c r="FN372" s="175"/>
      <c r="FO372" s="175"/>
      <c r="FP372" s="175"/>
      <c r="FQ372" s="175"/>
      <c r="FR372" s="175"/>
      <c r="FS372" s="175"/>
      <c r="FT372" s="175"/>
      <c r="FU372" s="175"/>
      <c r="FV372" s="175"/>
      <c r="FW372" s="175"/>
      <c r="FX372" s="175"/>
      <c r="FY372" s="175"/>
      <c r="FZ372" s="175"/>
      <c r="GA372" s="175"/>
      <c r="GB372" s="175"/>
      <c r="GC372" s="175"/>
      <c r="GD372" s="175"/>
      <c r="GE372" s="175"/>
      <c r="GF372" s="175"/>
      <c r="GG372" s="175"/>
      <c r="GH372" s="175"/>
      <c r="GI372" s="175"/>
      <c r="GJ372" s="175"/>
      <c r="GK372" s="175"/>
      <c r="GL372" s="175"/>
      <c r="GM372" s="175"/>
      <c r="GN372" s="175"/>
      <c r="GO372" s="175"/>
      <c r="GP372" s="175"/>
      <c r="GQ372" s="175"/>
      <c r="GR372" s="175"/>
      <c r="GS372" s="175"/>
      <c r="GT372" s="175"/>
      <c r="GU372" s="175"/>
      <c r="GV372" s="175"/>
      <c r="GW372" s="175"/>
      <c r="GX372" s="175"/>
      <c r="GY372" s="175"/>
      <c r="GZ372" s="175"/>
      <c r="HA372" s="175"/>
      <c r="HB372" s="175"/>
      <c r="HC372" s="175"/>
      <c r="HD372" s="175"/>
      <c r="HE372" s="175"/>
      <c r="HF372" s="175"/>
      <c r="HG372" s="175"/>
      <c r="HH372" s="175"/>
      <c r="HI372" s="175"/>
      <c r="HJ372" s="175"/>
      <c r="HK372" s="175"/>
      <c r="HL372" s="175"/>
      <c r="HM372" s="175"/>
      <c r="HN372" s="175"/>
      <c r="HO372" s="175"/>
      <c r="HP372" s="175"/>
      <c r="HQ372" s="175"/>
      <c r="HR372" s="175"/>
      <c r="HS372" s="175"/>
      <c r="HT372" s="175"/>
      <c r="HU372" s="175"/>
      <c r="HV372" s="175"/>
      <c r="HW372" s="175"/>
      <c r="HX372" s="175"/>
      <c r="HY372" s="175"/>
      <c r="HZ372" s="175"/>
      <c r="IA372" s="175"/>
      <c r="IB372" s="175"/>
      <c r="IC372" s="175"/>
      <c r="ID372" s="175"/>
      <c r="IE372" s="175"/>
      <c r="IF372" s="175"/>
      <c r="IG372" s="175"/>
      <c r="IH372" s="175"/>
      <c r="II372" s="175"/>
      <c r="IJ372" s="175"/>
      <c r="IK372" s="175"/>
      <c r="IL372" s="175"/>
      <c r="IM372" s="175"/>
    </row>
  </sheetData>
  <autoFilter ref="B7:J369"/>
  <mergeCells count="4">
    <mergeCell ref="C5:F5"/>
    <mergeCell ref="G5:J5"/>
    <mergeCell ref="B1:J1"/>
    <mergeCell ref="B2:J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/>
  <dimension ref="A1:K32"/>
  <sheetViews>
    <sheetView zoomScale="80" zoomScaleNormal="8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B13" sqref="B13"/>
    </sheetView>
  </sheetViews>
  <sheetFormatPr defaultColWidth="9.140625" defaultRowHeight="15" x14ac:dyDescent="0.25"/>
  <cols>
    <col min="1" max="1" width="42" style="9" customWidth="1"/>
    <col min="2" max="2" width="13.5703125" style="9" customWidth="1"/>
    <col min="3" max="3" width="12.28515625" style="9" customWidth="1"/>
    <col min="4" max="4" width="12.140625" style="9" customWidth="1"/>
    <col min="5" max="5" width="7.7109375" style="9" customWidth="1"/>
    <col min="6" max="6" width="14.140625" style="9" customWidth="1"/>
    <col min="7" max="7" width="11.85546875" style="9" customWidth="1"/>
    <col min="8" max="8" width="11.85546875" style="153" customWidth="1"/>
    <col min="9" max="9" width="11.85546875" style="9" customWidth="1"/>
    <col min="10" max="10" width="12.140625" style="9" bestFit="1" customWidth="1"/>
    <col min="11" max="16384" width="9.140625" style="9"/>
  </cols>
  <sheetData>
    <row r="1" spans="1:10" s="66" customFormat="1" ht="35.25" customHeight="1" x14ac:dyDescent="0.25">
      <c r="A1" s="764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январь-август  2018</v>
      </c>
      <c r="B1" s="765"/>
      <c r="C1" s="765"/>
      <c r="D1" s="765"/>
      <c r="E1" s="765"/>
      <c r="F1" s="765"/>
      <c r="G1" s="765"/>
      <c r="H1" s="765"/>
      <c r="I1" s="765"/>
    </row>
    <row r="2" spans="1:10" hidden="1" x14ac:dyDescent="0.25">
      <c r="A2" s="152">
        <v>8</v>
      </c>
    </row>
    <row r="3" spans="1:10" ht="21" customHeight="1" thickBot="1" x14ac:dyDescent="0.3">
      <c r="A3" s="152"/>
    </row>
    <row r="4" spans="1:10" ht="15.75" thickBot="1" x14ac:dyDescent="0.3">
      <c r="A4" s="38" t="s">
        <v>0</v>
      </c>
      <c r="B4" s="761" t="s">
        <v>102</v>
      </c>
      <c r="C4" s="762"/>
      <c r="D4" s="762"/>
      <c r="E4" s="763"/>
      <c r="F4" s="761" t="s">
        <v>101</v>
      </c>
      <c r="G4" s="762"/>
      <c r="H4" s="762"/>
      <c r="I4" s="763"/>
    </row>
    <row r="5" spans="1:10" ht="60.75" thickBot="1" x14ac:dyDescent="0.3">
      <c r="A5" s="39"/>
      <c r="B5" s="297" t="s">
        <v>128</v>
      </c>
      <c r="C5" s="297" t="s">
        <v>135</v>
      </c>
      <c r="D5" s="298" t="s">
        <v>103</v>
      </c>
      <c r="E5" s="95" t="s">
        <v>35</v>
      </c>
      <c r="F5" s="297" t="s">
        <v>129</v>
      </c>
      <c r="G5" s="297" t="s">
        <v>136</v>
      </c>
      <c r="H5" s="298" t="s">
        <v>104</v>
      </c>
      <c r="I5" s="95" t="s">
        <v>35</v>
      </c>
    </row>
    <row r="6" spans="1:10" s="18" customFormat="1" ht="15.75" thickBot="1" x14ac:dyDescent="0.3">
      <c r="A6" s="55">
        <v>1</v>
      </c>
      <c r="B6" s="55">
        <v>2</v>
      </c>
      <c r="C6" s="55">
        <v>3</v>
      </c>
      <c r="D6" s="55">
        <v>4</v>
      </c>
      <c r="E6" s="55">
        <v>5</v>
      </c>
      <c r="F6" s="55">
        <v>6</v>
      </c>
      <c r="G6" s="55">
        <v>7</v>
      </c>
      <c r="H6" s="55">
        <v>8</v>
      </c>
      <c r="I6" s="55">
        <v>9</v>
      </c>
      <c r="J6" s="77"/>
    </row>
    <row r="7" spans="1:10" ht="17.25" customHeight="1" x14ac:dyDescent="0.25">
      <c r="A7" s="759"/>
      <c r="B7" s="8"/>
      <c r="C7" s="8"/>
      <c r="D7" s="8"/>
      <c r="E7" s="8"/>
      <c r="F7" s="4"/>
      <c r="G7" s="4"/>
      <c r="H7" s="165"/>
      <c r="I7" s="4"/>
    </row>
    <row r="8" spans="1:10" ht="29.25" x14ac:dyDescent="0.25">
      <c r="A8" s="216" t="s">
        <v>57</v>
      </c>
      <c r="B8" s="14"/>
      <c r="C8" s="14"/>
      <c r="D8" s="14"/>
      <c r="E8" s="14"/>
      <c r="F8" s="16"/>
      <c r="G8" s="16"/>
      <c r="H8" s="144"/>
      <c r="I8" s="16"/>
    </row>
    <row r="9" spans="1:10" s="35" customFormat="1" ht="51.75" customHeight="1" x14ac:dyDescent="0.25">
      <c r="A9" s="227" t="s">
        <v>120</v>
      </c>
      <c r="B9" s="113">
        <f>SUM(B10:B13)</f>
        <v>505</v>
      </c>
      <c r="C9" s="113">
        <f>SUM(C10:C13)</f>
        <v>336</v>
      </c>
      <c r="D9" s="113">
        <f>SUM(D10:D13)</f>
        <v>410</v>
      </c>
      <c r="E9" s="113">
        <f t="shared" ref="E9:E19" si="0">D9/C9*100</f>
        <v>122.02380952380953</v>
      </c>
      <c r="F9" s="129">
        <f>SUM(F10:F13)</f>
        <v>1482.8329799999999</v>
      </c>
      <c r="G9" s="129">
        <f>SUM(G10:G13)</f>
        <v>988.56000000000017</v>
      </c>
      <c r="H9" s="129">
        <f>SUM(H10:H13)</f>
        <v>1278.4070200000001</v>
      </c>
      <c r="I9" s="113">
        <f t="shared" ref="I9:I19" si="1">H9/G9*100</f>
        <v>129.32012422108926</v>
      </c>
      <c r="J9" s="77"/>
    </row>
    <row r="10" spans="1:10" s="35" customFormat="1" ht="30" x14ac:dyDescent="0.25">
      <c r="A10" s="71" t="s">
        <v>79</v>
      </c>
      <c r="B10" s="113">
        <v>323</v>
      </c>
      <c r="C10" s="107">
        <f>ROUND(B10/12*$A$2,0)</f>
        <v>215</v>
      </c>
      <c r="D10" s="113">
        <v>236</v>
      </c>
      <c r="E10" s="113">
        <f t="shared" si="0"/>
        <v>109.76744186046513</v>
      </c>
      <c r="F10" s="129">
        <v>711.52359999999999</v>
      </c>
      <c r="G10" s="107">
        <f>ROUND(F10/12*$A$2,2)</f>
        <v>474.35</v>
      </c>
      <c r="H10" s="113">
        <v>542.33627000000001</v>
      </c>
      <c r="I10" s="113">
        <f t="shared" si="1"/>
        <v>114.33251185833244</v>
      </c>
      <c r="J10" s="77"/>
    </row>
    <row r="11" spans="1:10" s="35" customFormat="1" ht="38.1" customHeight="1" x14ac:dyDescent="0.25">
      <c r="A11" s="71" t="s">
        <v>80</v>
      </c>
      <c r="B11" s="113">
        <v>131</v>
      </c>
      <c r="C11" s="107">
        <f>ROUND(B11/12*$A$2,0)</f>
        <v>87</v>
      </c>
      <c r="D11" s="113">
        <v>125</v>
      </c>
      <c r="E11" s="113">
        <f t="shared" si="0"/>
        <v>143.67816091954023</v>
      </c>
      <c r="F11" s="129">
        <v>327.08008000000001</v>
      </c>
      <c r="G11" s="107">
        <f t="shared" ref="G11:G13" si="2">ROUND(F11/12*$A$2,2)</f>
        <v>218.05</v>
      </c>
      <c r="H11" s="113">
        <v>309.26213000000001</v>
      </c>
      <c r="I11" s="113">
        <f t="shared" si="1"/>
        <v>141.83083237789498</v>
      </c>
      <c r="J11" s="77"/>
    </row>
    <row r="12" spans="1:10" s="35" customFormat="1" ht="43.5" customHeight="1" x14ac:dyDescent="0.25">
      <c r="A12" s="71" t="s">
        <v>110</v>
      </c>
      <c r="B12" s="113">
        <v>8</v>
      </c>
      <c r="C12" s="107">
        <f>ROUND(B12/12*$A$2,0)</f>
        <v>5</v>
      </c>
      <c r="D12" s="113">
        <v>17</v>
      </c>
      <c r="E12" s="113">
        <f t="shared" si="0"/>
        <v>340</v>
      </c>
      <c r="F12" s="129">
        <v>69.683000000000007</v>
      </c>
      <c r="G12" s="107">
        <f t="shared" si="2"/>
        <v>46.46</v>
      </c>
      <c r="H12" s="113">
        <v>148.07646</v>
      </c>
      <c r="I12" s="113">
        <f t="shared" si="1"/>
        <v>318.71816616444255</v>
      </c>
      <c r="J12" s="77"/>
    </row>
    <row r="13" spans="1:10" s="35" customFormat="1" ht="30" x14ac:dyDescent="0.25">
      <c r="A13" s="71" t="s">
        <v>111</v>
      </c>
      <c r="B13" s="113">
        <v>43</v>
      </c>
      <c r="C13" s="107">
        <f>ROUND(B13/12*$A$2,0)</f>
        <v>29</v>
      </c>
      <c r="D13" s="113">
        <v>32</v>
      </c>
      <c r="E13" s="113">
        <f t="shared" si="0"/>
        <v>110.34482758620689</v>
      </c>
      <c r="F13" s="129">
        <v>374.54629999999997</v>
      </c>
      <c r="G13" s="107">
        <f t="shared" si="2"/>
        <v>249.7</v>
      </c>
      <c r="H13" s="113">
        <v>278.73215999999996</v>
      </c>
      <c r="I13" s="113">
        <f t="shared" si="1"/>
        <v>111.6268161794153</v>
      </c>
      <c r="J13" s="77"/>
    </row>
    <row r="14" spans="1:10" s="35" customFormat="1" ht="36" customHeight="1" x14ac:dyDescent="0.25">
      <c r="A14" s="227" t="s">
        <v>112</v>
      </c>
      <c r="B14" s="113">
        <f>SUM(B15:B17)</f>
        <v>961</v>
      </c>
      <c r="C14" s="113">
        <f>SUM(C15:C17)</f>
        <v>640</v>
      </c>
      <c r="D14" s="113">
        <f>SUM(D15:D17)</f>
        <v>397</v>
      </c>
      <c r="E14" s="113">
        <f t="shared" si="0"/>
        <v>62.031250000000007</v>
      </c>
      <c r="F14" s="113">
        <f>SUM(F15:F17)</f>
        <v>2584.9690000000001</v>
      </c>
      <c r="G14" s="113">
        <f>SUM(G15:G17)</f>
        <v>1723.3100000000002</v>
      </c>
      <c r="H14" s="113">
        <f>SUM(H15:H17)</f>
        <v>1272.2520399999999</v>
      </c>
      <c r="I14" s="113">
        <f t="shared" si="1"/>
        <v>73.826069598621245</v>
      </c>
      <c r="J14" s="77"/>
    </row>
    <row r="15" spans="1:10" s="35" customFormat="1" ht="30" x14ac:dyDescent="0.25">
      <c r="A15" s="71" t="s">
        <v>108</v>
      </c>
      <c r="B15" s="113">
        <v>200</v>
      </c>
      <c r="C15" s="107">
        <f t="shared" ref="C15:C18" si="3">ROUND(B15/12*$A$2,0)</f>
        <v>133</v>
      </c>
      <c r="D15" s="113">
        <v>102</v>
      </c>
      <c r="E15" s="113">
        <f t="shared" si="0"/>
        <v>76.691729323308266</v>
      </c>
      <c r="F15" s="129">
        <v>542.94600000000003</v>
      </c>
      <c r="G15" s="107">
        <f t="shared" ref="G15:G18" si="4">ROUND(F15/12*$A$2,2)</f>
        <v>361.96</v>
      </c>
      <c r="H15" s="644">
        <v>279.61536000000001</v>
      </c>
      <c r="I15" s="113">
        <f t="shared" si="1"/>
        <v>77.250348104762963</v>
      </c>
      <c r="J15" s="77"/>
    </row>
    <row r="16" spans="1:10" s="35" customFormat="1" ht="60" x14ac:dyDescent="0.25">
      <c r="A16" s="71" t="s">
        <v>119</v>
      </c>
      <c r="B16" s="113">
        <v>551</v>
      </c>
      <c r="C16" s="107">
        <f t="shared" si="3"/>
        <v>367</v>
      </c>
      <c r="D16" s="113">
        <v>241</v>
      </c>
      <c r="E16" s="113">
        <f t="shared" si="0"/>
        <v>65.667574931880111</v>
      </c>
      <c r="F16" s="129">
        <v>1828.8025</v>
      </c>
      <c r="G16" s="107">
        <f t="shared" si="4"/>
        <v>1219.2</v>
      </c>
      <c r="H16" s="113">
        <v>925.32779999999991</v>
      </c>
      <c r="I16" s="113">
        <f t="shared" si="1"/>
        <v>75.89630905511811</v>
      </c>
      <c r="J16" s="77"/>
    </row>
    <row r="17" spans="1:11" s="35" customFormat="1" ht="45" x14ac:dyDescent="0.25">
      <c r="A17" s="71" t="s">
        <v>109</v>
      </c>
      <c r="B17" s="113">
        <v>210</v>
      </c>
      <c r="C17" s="107">
        <f t="shared" si="3"/>
        <v>140</v>
      </c>
      <c r="D17" s="113">
        <v>54</v>
      </c>
      <c r="E17" s="113">
        <f t="shared" si="0"/>
        <v>38.571428571428577</v>
      </c>
      <c r="F17" s="129">
        <v>213.22049999999999</v>
      </c>
      <c r="G17" s="107">
        <f t="shared" si="4"/>
        <v>142.15</v>
      </c>
      <c r="H17" s="113">
        <v>67.308880000000002</v>
      </c>
      <c r="I17" s="113">
        <f t="shared" si="1"/>
        <v>47.350601477312701</v>
      </c>
      <c r="J17" s="77"/>
    </row>
    <row r="18" spans="1:11" s="35" customFormat="1" ht="38.1" customHeight="1" thickBot="1" x14ac:dyDescent="0.3">
      <c r="A18" s="702" t="s">
        <v>123</v>
      </c>
      <c r="B18" s="174">
        <v>2800</v>
      </c>
      <c r="C18" s="300">
        <f t="shared" si="3"/>
        <v>1867</v>
      </c>
      <c r="D18" s="174">
        <v>1967</v>
      </c>
      <c r="E18" s="174">
        <f>D18/C18*100</f>
        <v>105.35618639528657</v>
      </c>
      <c r="F18" s="424">
        <v>3617.152</v>
      </c>
      <c r="G18" s="107">
        <f t="shared" si="4"/>
        <v>2411.4299999999998</v>
      </c>
      <c r="H18" s="174">
        <v>2537.1614499999996</v>
      </c>
      <c r="I18" s="174">
        <f>H18/G18*100</f>
        <v>105.21397884242958</v>
      </c>
      <c r="J18" s="77"/>
    </row>
    <row r="19" spans="1:11" s="35" customFormat="1" ht="27" customHeight="1" thickBot="1" x14ac:dyDescent="0.3">
      <c r="A19" s="204" t="s">
        <v>3</v>
      </c>
      <c r="B19" s="339">
        <f>B14+B9</f>
        <v>1466</v>
      </c>
      <c r="C19" s="339">
        <f>C14+C9</f>
        <v>976</v>
      </c>
      <c r="D19" s="339">
        <f>D14+D9</f>
        <v>807</v>
      </c>
      <c r="E19" s="339">
        <f t="shared" si="0"/>
        <v>82.684426229508205</v>
      </c>
      <c r="F19" s="375">
        <f>F14+F9+F18</f>
        <v>7684.9539800000002</v>
      </c>
      <c r="G19" s="375">
        <f>G14+G9+G18</f>
        <v>5123.3</v>
      </c>
      <c r="H19" s="719">
        <f>H14+H9+H18</f>
        <v>5087.8205099999996</v>
      </c>
      <c r="I19" s="339">
        <f t="shared" si="1"/>
        <v>99.307487556848116</v>
      </c>
      <c r="J19" s="77"/>
    </row>
    <row r="20" spans="1:11" x14ac:dyDescent="0.25">
      <c r="A20" s="732" t="s">
        <v>12</v>
      </c>
      <c r="B20" s="733"/>
      <c r="C20" s="733"/>
      <c r="D20" s="733"/>
      <c r="E20" s="733"/>
      <c r="F20" s="734"/>
      <c r="G20" s="734"/>
      <c r="H20" s="734"/>
      <c r="I20" s="734"/>
      <c r="J20" s="77"/>
      <c r="K20" s="35"/>
    </row>
    <row r="21" spans="1:11" s="10" customFormat="1" ht="30" x14ac:dyDescent="0.25">
      <c r="A21" s="542" t="s">
        <v>120</v>
      </c>
      <c r="B21" s="735">
        <f t="shared" ref="B21:F29" si="5">B9</f>
        <v>505</v>
      </c>
      <c r="C21" s="735">
        <f t="shared" si="5"/>
        <v>336</v>
      </c>
      <c r="D21" s="735">
        <f t="shared" si="5"/>
        <v>410</v>
      </c>
      <c r="E21" s="735">
        <f t="shared" si="5"/>
        <v>122.02380952380953</v>
      </c>
      <c r="F21" s="735">
        <f t="shared" si="5"/>
        <v>1482.8329799999999</v>
      </c>
      <c r="G21" s="735">
        <f t="shared" ref="G21:I26" si="6">G9</f>
        <v>988.56000000000017</v>
      </c>
      <c r="H21" s="735">
        <f t="shared" si="6"/>
        <v>1278.4070200000001</v>
      </c>
      <c r="I21" s="735">
        <f t="shared" si="6"/>
        <v>129.32012422108926</v>
      </c>
      <c r="J21" s="77"/>
      <c r="K21" s="35"/>
    </row>
    <row r="22" spans="1:11" s="10" customFormat="1" ht="30" x14ac:dyDescent="0.25">
      <c r="A22" s="538" t="s">
        <v>79</v>
      </c>
      <c r="B22" s="735">
        <f t="shared" si="5"/>
        <v>323</v>
      </c>
      <c r="C22" s="735">
        <f t="shared" si="5"/>
        <v>215</v>
      </c>
      <c r="D22" s="735">
        <f t="shared" si="5"/>
        <v>236</v>
      </c>
      <c r="E22" s="735">
        <f t="shared" si="5"/>
        <v>109.76744186046513</v>
      </c>
      <c r="F22" s="735">
        <f t="shared" si="5"/>
        <v>711.52359999999999</v>
      </c>
      <c r="G22" s="735">
        <f t="shared" si="6"/>
        <v>474.35</v>
      </c>
      <c r="H22" s="735">
        <f t="shared" si="6"/>
        <v>542.33627000000001</v>
      </c>
      <c r="I22" s="735">
        <f t="shared" si="6"/>
        <v>114.33251185833244</v>
      </c>
      <c r="J22" s="77"/>
      <c r="K22" s="35"/>
    </row>
    <row r="23" spans="1:11" s="10" customFormat="1" ht="30" x14ac:dyDescent="0.25">
      <c r="A23" s="538" t="s">
        <v>80</v>
      </c>
      <c r="B23" s="735">
        <f t="shared" si="5"/>
        <v>131</v>
      </c>
      <c r="C23" s="735">
        <f t="shared" si="5"/>
        <v>87</v>
      </c>
      <c r="D23" s="735">
        <f t="shared" si="5"/>
        <v>125</v>
      </c>
      <c r="E23" s="735">
        <f t="shared" si="5"/>
        <v>143.67816091954023</v>
      </c>
      <c r="F23" s="735">
        <f t="shared" si="5"/>
        <v>327.08008000000001</v>
      </c>
      <c r="G23" s="735">
        <f t="shared" si="6"/>
        <v>218.05</v>
      </c>
      <c r="H23" s="735">
        <f t="shared" si="6"/>
        <v>309.26213000000001</v>
      </c>
      <c r="I23" s="735">
        <f t="shared" si="6"/>
        <v>141.83083237789498</v>
      </c>
      <c r="J23" s="77"/>
      <c r="K23" s="35"/>
    </row>
    <row r="24" spans="1:11" s="10" customFormat="1" ht="45" x14ac:dyDescent="0.25">
      <c r="A24" s="538" t="s">
        <v>110</v>
      </c>
      <c r="B24" s="735">
        <f t="shared" si="5"/>
        <v>8</v>
      </c>
      <c r="C24" s="735">
        <f t="shared" si="5"/>
        <v>5</v>
      </c>
      <c r="D24" s="735">
        <f t="shared" si="5"/>
        <v>17</v>
      </c>
      <c r="E24" s="735">
        <f t="shared" si="5"/>
        <v>340</v>
      </c>
      <c r="F24" s="735">
        <f t="shared" si="5"/>
        <v>69.683000000000007</v>
      </c>
      <c r="G24" s="735">
        <f t="shared" si="6"/>
        <v>46.46</v>
      </c>
      <c r="H24" s="735">
        <f t="shared" si="6"/>
        <v>148.07646</v>
      </c>
      <c r="I24" s="735">
        <f t="shared" si="6"/>
        <v>318.71816616444255</v>
      </c>
      <c r="J24" s="77"/>
      <c r="K24" s="35"/>
    </row>
    <row r="25" spans="1:11" s="10" customFormat="1" ht="30" x14ac:dyDescent="0.25">
      <c r="A25" s="538" t="s">
        <v>111</v>
      </c>
      <c r="B25" s="735">
        <f t="shared" si="5"/>
        <v>43</v>
      </c>
      <c r="C25" s="735">
        <f t="shared" si="5"/>
        <v>29</v>
      </c>
      <c r="D25" s="735">
        <f t="shared" si="5"/>
        <v>32</v>
      </c>
      <c r="E25" s="735">
        <f t="shared" si="5"/>
        <v>110.34482758620689</v>
      </c>
      <c r="F25" s="735">
        <f t="shared" si="5"/>
        <v>374.54629999999997</v>
      </c>
      <c r="G25" s="735">
        <f t="shared" si="6"/>
        <v>249.7</v>
      </c>
      <c r="H25" s="735">
        <f t="shared" si="6"/>
        <v>278.73215999999996</v>
      </c>
      <c r="I25" s="735">
        <f t="shared" si="6"/>
        <v>111.6268161794153</v>
      </c>
      <c r="J25" s="77"/>
      <c r="K25" s="35"/>
    </row>
    <row r="26" spans="1:11" s="10" customFormat="1" ht="30" x14ac:dyDescent="0.25">
      <c r="A26" s="542" t="s">
        <v>112</v>
      </c>
      <c r="B26" s="735">
        <f t="shared" si="5"/>
        <v>961</v>
      </c>
      <c r="C26" s="735">
        <f t="shared" si="5"/>
        <v>640</v>
      </c>
      <c r="D26" s="735">
        <f t="shared" si="5"/>
        <v>397</v>
      </c>
      <c r="E26" s="735">
        <f t="shared" si="5"/>
        <v>62.031250000000007</v>
      </c>
      <c r="F26" s="735">
        <f t="shared" si="5"/>
        <v>2584.9690000000001</v>
      </c>
      <c r="G26" s="735">
        <f t="shared" si="6"/>
        <v>1723.3100000000002</v>
      </c>
      <c r="H26" s="735">
        <f t="shared" si="6"/>
        <v>1272.2520399999999</v>
      </c>
      <c r="I26" s="735">
        <f t="shared" si="6"/>
        <v>73.826069598621245</v>
      </c>
      <c r="J26" s="77"/>
      <c r="K26" s="35"/>
    </row>
    <row r="27" spans="1:11" s="10" customFormat="1" ht="30" x14ac:dyDescent="0.25">
      <c r="A27" s="538" t="s">
        <v>108</v>
      </c>
      <c r="B27" s="735">
        <f t="shared" si="5"/>
        <v>200</v>
      </c>
      <c r="C27" s="735">
        <f t="shared" si="5"/>
        <v>133</v>
      </c>
      <c r="D27" s="735">
        <f t="shared" si="5"/>
        <v>102</v>
      </c>
      <c r="E27" s="735">
        <f t="shared" si="5"/>
        <v>76.691729323308266</v>
      </c>
      <c r="F27" s="735">
        <f t="shared" si="5"/>
        <v>542.94600000000003</v>
      </c>
      <c r="G27" s="735">
        <f t="shared" ref="G27:I29" si="7">G15</f>
        <v>361.96</v>
      </c>
      <c r="H27" s="735">
        <f t="shared" si="7"/>
        <v>279.61536000000001</v>
      </c>
      <c r="I27" s="735">
        <f t="shared" si="7"/>
        <v>77.250348104762963</v>
      </c>
      <c r="J27" s="77"/>
      <c r="K27" s="35"/>
    </row>
    <row r="28" spans="1:11" s="10" customFormat="1" ht="60" x14ac:dyDescent="0.25">
      <c r="A28" s="538" t="s">
        <v>81</v>
      </c>
      <c r="B28" s="735">
        <f t="shared" si="5"/>
        <v>551</v>
      </c>
      <c r="C28" s="735">
        <f t="shared" si="5"/>
        <v>367</v>
      </c>
      <c r="D28" s="735">
        <f t="shared" si="5"/>
        <v>241</v>
      </c>
      <c r="E28" s="735">
        <f t="shared" si="5"/>
        <v>65.667574931880111</v>
      </c>
      <c r="F28" s="735">
        <f t="shared" si="5"/>
        <v>1828.8025</v>
      </c>
      <c r="G28" s="735">
        <f t="shared" si="7"/>
        <v>1219.2</v>
      </c>
      <c r="H28" s="735">
        <f t="shared" si="7"/>
        <v>925.32779999999991</v>
      </c>
      <c r="I28" s="735">
        <f t="shared" si="7"/>
        <v>75.89630905511811</v>
      </c>
      <c r="J28" s="77"/>
      <c r="K28" s="35"/>
    </row>
    <row r="29" spans="1:11" s="10" customFormat="1" ht="45" x14ac:dyDescent="0.25">
      <c r="A29" s="538" t="s">
        <v>109</v>
      </c>
      <c r="B29" s="735">
        <f t="shared" si="5"/>
        <v>210</v>
      </c>
      <c r="C29" s="735">
        <f t="shared" si="5"/>
        <v>140</v>
      </c>
      <c r="D29" s="735">
        <f t="shared" si="5"/>
        <v>54</v>
      </c>
      <c r="E29" s="735">
        <f t="shared" si="5"/>
        <v>38.571428571428577</v>
      </c>
      <c r="F29" s="735">
        <f t="shared" si="5"/>
        <v>213.22049999999999</v>
      </c>
      <c r="G29" s="735">
        <f t="shared" si="7"/>
        <v>142.15</v>
      </c>
      <c r="H29" s="735">
        <f t="shared" si="7"/>
        <v>67.308880000000002</v>
      </c>
      <c r="I29" s="735">
        <f t="shared" si="7"/>
        <v>47.350601477312701</v>
      </c>
      <c r="J29" s="77"/>
      <c r="K29" s="35"/>
    </row>
    <row r="30" spans="1:11" s="10" customFormat="1" ht="30" x14ac:dyDescent="0.25">
      <c r="A30" s="538" t="s">
        <v>123</v>
      </c>
      <c r="B30" s="735">
        <f t="shared" ref="B30:E30" si="8">B18</f>
        <v>2800</v>
      </c>
      <c r="C30" s="735">
        <f t="shared" si="8"/>
        <v>1867</v>
      </c>
      <c r="D30" s="735">
        <f>D18</f>
        <v>1967</v>
      </c>
      <c r="E30" s="735">
        <f t="shared" si="8"/>
        <v>105.35618639528657</v>
      </c>
      <c r="F30" s="735">
        <f t="shared" ref="F30" si="9">F18</f>
        <v>3617.152</v>
      </c>
      <c r="G30" s="735">
        <f t="shared" ref="G30:I30" si="10">G18</f>
        <v>2411.4299999999998</v>
      </c>
      <c r="H30" s="735">
        <f>H18</f>
        <v>2537.1614499999996</v>
      </c>
      <c r="I30" s="735">
        <f t="shared" si="10"/>
        <v>105.21397884242958</v>
      </c>
      <c r="J30" s="77"/>
      <c r="K30" s="35"/>
    </row>
    <row r="31" spans="1:11" ht="15.75" thickBot="1" x14ac:dyDescent="0.3">
      <c r="A31" s="757" t="s">
        <v>4</v>
      </c>
      <c r="B31" s="758"/>
      <c r="C31" s="758"/>
      <c r="D31" s="758"/>
      <c r="E31" s="758"/>
      <c r="F31" s="758">
        <f>F19</f>
        <v>7684.9539800000002</v>
      </c>
      <c r="G31" s="758">
        <f>G19</f>
        <v>5123.3</v>
      </c>
      <c r="H31" s="758">
        <f>H19</f>
        <v>5087.8205099999996</v>
      </c>
      <c r="I31" s="758">
        <f>I19</f>
        <v>99.307487556848116</v>
      </c>
      <c r="J31" s="77"/>
      <c r="K31" s="35"/>
    </row>
    <row r="32" spans="1:11" ht="15" customHeight="1" x14ac:dyDescent="0.25"/>
  </sheetData>
  <mergeCells count="3">
    <mergeCell ref="F4:I4"/>
    <mergeCell ref="A1:I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/>
  <dimension ref="A1:GV32"/>
  <sheetViews>
    <sheetView zoomScale="80" zoomScaleNormal="8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B14" sqref="B14"/>
    </sheetView>
  </sheetViews>
  <sheetFormatPr defaultColWidth="11.42578125" defaultRowHeight="15" x14ac:dyDescent="0.25"/>
  <cols>
    <col min="1" max="1" width="42.7109375" style="9" customWidth="1"/>
    <col min="2" max="2" width="12.5703125" style="9" customWidth="1"/>
    <col min="3" max="3" width="14.42578125" style="9" customWidth="1"/>
    <col min="4" max="4" width="13.28515625" style="9" customWidth="1"/>
    <col min="5" max="5" width="11.28515625" style="9" customWidth="1"/>
    <col min="6" max="6" width="12.140625" style="9" customWidth="1"/>
    <col min="7" max="7" width="14.140625" style="9" customWidth="1"/>
    <col min="8" max="8" width="12.140625" style="153" customWidth="1"/>
    <col min="9" max="9" width="12.140625" style="9" customWidth="1"/>
    <col min="10" max="10" width="14.7109375" style="9" customWidth="1"/>
    <col min="11" max="16384" width="11.42578125" style="9"/>
  </cols>
  <sheetData>
    <row r="1" spans="1:10" ht="33" customHeight="1" x14ac:dyDescent="0.25">
      <c r="A1" s="764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январь-август  2018</v>
      </c>
      <c r="B1" s="765"/>
      <c r="C1" s="765"/>
      <c r="D1" s="765"/>
      <c r="E1" s="765"/>
      <c r="F1" s="765"/>
      <c r="G1" s="765"/>
      <c r="H1" s="765"/>
      <c r="I1" s="765"/>
    </row>
    <row r="2" spans="1:10" ht="13.5" hidden="1" customHeight="1" x14ac:dyDescent="0.25">
      <c r="A2" s="152">
        <v>8</v>
      </c>
    </row>
    <row r="3" spans="1:10" ht="15.75" thickBot="1" x14ac:dyDescent="0.3">
      <c r="A3" s="152"/>
    </row>
    <row r="4" spans="1:10" ht="15.75" thickBot="1" x14ac:dyDescent="0.3">
      <c r="A4" s="38" t="s">
        <v>0</v>
      </c>
      <c r="B4" s="761" t="s">
        <v>102</v>
      </c>
      <c r="C4" s="762"/>
      <c r="D4" s="762"/>
      <c r="E4" s="763"/>
      <c r="F4" s="761" t="s">
        <v>101</v>
      </c>
      <c r="G4" s="762"/>
      <c r="H4" s="762"/>
      <c r="I4" s="763"/>
    </row>
    <row r="5" spans="1:10" ht="60.75" thickBot="1" x14ac:dyDescent="0.3">
      <c r="A5" s="39"/>
      <c r="B5" s="297" t="s">
        <v>128</v>
      </c>
      <c r="C5" s="297" t="s">
        <v>137</v>
      </c>
      <c r="D5" s="298" t="s">
        <v>103</v>
      </c>
      <c r="E5" s="95" t="s">
        <v>35</v>
      </c>
      <c r="F5" s="297" t="s">
        <v>129</v>
      </c>
      <c r="G5" s="297" t="s">
        <v>136</v>
      </c>
      <c r="H5" s="298" t="s">
        <v>104</v>
      </c>
      <c r="I5" s="95" t="s">
        <v>35</v>
      </c>
    </row>
    <row r="6" spans="1:10" s="18" customFormat="1" ht="15.75" thickBot="1" x14ac:dyDescent="0.3">
      <c r="A6" s="55">
        <v>1</v>
      </c>
      <c r="B6" s="55">
        <v>2</v>
      </c>
      <c r="C6" s="55">
        <v>3</v>
      </c>
      <c r="D6" s="55">
        <v>4</v>
      </c>
      <c r="E6" s="55">
        <v>5</v>
      </c>
      <c r="F6" s="55">
        <v>6</v>
      </c>
      <c r="G6" s="55">
        <v>7</v>
      </c>
      <c r="H6" s="55">
        <v>8</v>
      </c>
      <c r="I6" s="55">
        <v>9</v>
      </c>
      <c r="J6" s="77"/>
    </row>
    <row r="7" spans="1:10" s="18" customFormat="1" ht="13.9" customHeight="1" x14ac:dyDescent="0.25">
      <c r="A7" s="29"/>
      <c r="B7" s="19"/>
      <c r="C7" s="19"/>
      <c r="D7" s="19"/>
      <c r="E7" s="19"/>
      <c r="F7" s="19"/>
      <c r="G7" s="20"/>
      <c r="H7" s="189"/>
      <c r="I7" s="20"/>
    </row>
    <row r="8" spans="1:10" ht="35.25" customHeight="1" x14ac:dyDescent="0.25">
      <c r="A8" s="730" t="s">
        <v>56</v>
      </c>
      <c r="B8" s="14"/>
      <c r="C8" s="14"/>
      <c r="D8" s="14"/>
      <c r="E8" s="14"/>
      <c r="F8" s="14"/>
      <c r="G8" s="14"/>
      <c r="H8" s="124"/>
      <c r="I8" s="14"/>
    </row>
    <row r="9" spans="1:10" s="35" customFormat="1" ht="38.1" customHeight="1" x14ac:dyDescent="0.25">
      <c r="A9" s="116" t="s">
        <v>120</v>
      </c>
      <c r="B9" s="22">
        <f>SUM(B10:B13)</f>
        <v>1227</v>
      </c>
      <c r="C9" s="22">
        <f>SUM(C10:C13)</f>
        <v>818</v>
      </c>
      <c r="D9" s="113">
        <f>SUM(D10:D13)</f>
        <v>630</v>
      </c>
      <c r="E9" s="113">
        <f t="shared" ref="E9:E19" si="0">D9/C9*100</f>
        <v>77.017114914425434</v>
      </c>
      <c r="F9" s="129">
        <f>SUM(F10:F13)</f>
        <v>3253.9132599999998</v>
      </c>
      <c r="G9" s="129">
        <f>SUM(G10:G13)</f>
        <v>2169.27</v>
      </c>
      <c r="H9" s="129">
        <f>SUM(H10:H13)</f>
        <v>1838.9934899999998</v>
      </c>
      <c r="I9" s="113">
        <f t="shared" ref="I9:I19" si="1">H9/G9*100</f>
        <v>84.774762477699866</v>
      </c>
      <c r="J9" s="105"/>
    </row>
    <row r="10" spans="1:10" s="35" customFormat="1" ht="38.1" customHeight="1" x14ac:dyDescent="0.25">
      <c r="A10" s="116" t="s">
        <v>79</v>
      </c>
      <c r="B10" s="22">
        <v>900</v>
      </c>
      <c r="C10" s="22">
        <f t="shared" ref="C10:C17" si="2">ROUND(B10/12*$A$2,0)</f>
        <v>600</v>
      </c>
      <c r="D10" s="113">
        <v>562</v>
      </c>
      <c r="E10" s="113">
        <f t="shared" si="0"/>
        <v>93.666666666666671</v>
      </c>
      <c r="F10" s="129">
        <v>1940.569</v>
      </c>
      <c r="G10" s="113">
        <f>ROUND(F10/12*$A$2,2)</f>
        <v>1293.71</v>
      </c>
      <c r="H10" s="113">
        <v>1273.28117</v>
      </c>
      <c r="I10" s="113">
        <f t="shared" si="1"/>
        <v>98.420911177930137</v>
      </c>
      <c r="J10" s="105"/>
    </row>
    <row r="11" spans="1:10" s="35" customFormat="1" ht="30" x14ac:dyDescent="0.25">
      <c r="A11" s="116" t="s">
        <v>80</v>
      </c>
      <c r="B11" s="22">
        <v>270</v>
      </c>
      <c r="C11" s="22">
        <f t="shared" si="2"/>
        <v>180</v>
      </c>
      <c r="D11" s="113">
        <v>15</v>
      </c>
      <c r="E11" s="113">
        <f t="shared" si="0"/>
        <v>8.3333333333333321</v>
      </c>
      <c r="F11" s="129">
        <v>741.1543200000001</v>
      </c>
      <c r="G11" s="113">
        <f t="shared" ref="G11:G13" si="3">ROUND(F11/12*$A$2,2)</f>
        <v>494.1</v>
      </c>
      <c r="H11" s="113">
        <v>33.67606</v>
      </c>
      <c r="I11" s="113">
        <f t="shared" si="1"/>
        <v>6.8156365108277672</v>
      </c>
      <c r="J11" s="105"/>
    </row>
    <row r="12" spans="1:10" s="35" customFormat="1" ht="45" x14ac:dyDescent="0.25">
      <c r="A12" s="116" t="s">
        <v>110</v>
      </c>
      <c r="B12" s="22">
        <v>20</v>
      </c>
      <c r="C12" s="22">
        <f t="shared" si="2"/>
        <v>13</v>
      </c>
      <c r="D12" s="113">
        <v>20</v>
      </c>
      <c r="E12" s="113">
        <f t="shared" si="0"/>
        <v>153.84615384615387</v>
      </c>
      <c r="F12" s="129">
        <v>200.76839999999999</v>
      </c>
      <c r="G12" s="113">
        <f t="shared" si="3"/>
        <v>133.85</v>
      </c>
      <c r="H12" s="113">
        <v>200.76839999999999</v>
      </c>
      <c r="I12" s="113">
        <f t="shared" si="1"/>
        <v>149.99506910720956</v>
      </c>
      <c r="J12" s="105"/>
    </row>
    <row r="13" spans="1:10" s="35" customFormat="1" ht="30" x14ac:dyDescent="0.25">
      <c r="A13" s="116" t="s">
        <v>111</v>
      </c>
      <c r="B13" s="22">
        <v>37</v>
      </c>
      <c r="C13" s="22">
        <f t="shared" si="2"/>
        <v>25</v>
      </c>
      <c r="D13" s="113">
        <v>33</v>
      </c>
      <c r="E13" s="113">
        <f t="shared" si="0"/>
        <v>132</v>
      </c>
      <c r="F13" s="129">
        <v>371.42153999999999</v>
      </c>
      <c r="G13" s="113">
        <f t="shared" si="3"/>
        <v>247.61</v>
      </c>
      <c r="H13" s="113">
        <v>331.26785999999998</v>
      </c>
      <c r="I13" s="113">
        <f t="shared" si="1"/>
        <v>133.78613949355841</v>
      </c>
      <c r="J13" s="105"/>
    </row>
    <row r="14" spans="1:10" s="35" customFormat="1" ht="30" x14ac:dyDescent="0.25">
      <c r="A14" s="116" t="s">
        <v>112</v>
      </c>
      <c r="B14" s="22">
        <f>SUM(B15:B17)</f>
        <v>1519</v>
      </c>
      <c r="C14" s="22">
        <f>SUM(C15:C17)</f>
        <v>1013</v>
      </c>
      <c r="D14" s="113">
        <f>SUM(D15:D17)</f>
        <v>806</v>
      </c>
      <c r="E14" s="113">
        <f t="shared" si="0"/>
        <v>79.565646594274426</v>
      </c>
      <c r="F14" s="129">
        <f>SUM(F15:F17)</f>
        <v>5389.9595099999997</v>
      </c>
      <c r="G14" s="113">
        <f>SUM(G15:G17)</f>
        <v>3593.3</v>
      </c>
      <c r="H14" s="113">
        <f>SUM(H15:H17)</f>
        <v>3199.3544200000001</v>
      </c>
      <c r="I14" s="113">
        <f t="shared" si="1"/>
        <v>89.036663234352815</v>
      </c>
      <c r="J14" s="105"/>
    </row>
    <row r="15" spans="1:10" s="35" customFormat="1" ht="30" x14ac:dyDescent="0.25">
      <c r="A15" s="116" t="s">
        <v>108</v>
      </c>
      <c r="B15" s="113">
        <v>100</v>
      </c>
      <c r="C15" s="22">
        <f t="shared" si="2"/>
        <v>67</v>
      </c>
      <c r="D15" s="113">
        <v>57</v>
      </c>
      <c r="E15" s="113">
        <f t="shared" si="0"/>
        <v>85.074626865671647</v>
      </c>
      <c r="F15" s="129">
        <v>324.38797</v>
      </c>
      <c r="G15" s="113">
        <f t="shared" ref="G15:G18" si="4">ROUND(F15/12*$A$2,2)</f>
        <v>216.26</v>
      </c>
      <c r="H15" s="129">
        <v>178.00201000000001</v>
      </c>
      <c r="I15" s="113">
        <f t="shared" si="1"/>
        <v>82.309261999445127</v>
      </c>
      <c r="J15" s="105"/>
    </row>
    <row r="16" spans="1:10" s="35" customFormat="1" ht="60" x14ac:dyDescent="0.25">
      <c r="A16" s="116" t="s">
        <v>119</v>
      </c>
      <c r="B16" s="113">
        <v>1328</v>
      </c>
      <c r="C16" s="22">
        <f t="shared" si="2"/>
        <v>885</v>
      </c>
      <c r="D16" s="113">
        <v>715</v>
      </c>
      <c r="E16" s="113">
        <f t="shared" si="0"/>
        <v>80.790960451977398</v>
      </c>
      <c r="F16" s="129">
        <v>4929.1243199999999</v>
      </c>
      <c r="G16" s="113">
        <f t="shared" si="4"/>
        <v>3286.08</v>
      </c>
      <c r="H16" s="113">
        <v>2971.7786700000001</v>
      </c>
      <c r="I16" s="113">
        <f t="shared" si="1"/>
        <v>90.435371932515338</v>
      </c>
      <c r="J16" s="105"/>
    </row>
    <row r="17" spans="1:204" s="35" customFormat="1" ht="45" x14ac:dyDescent="0.25">
      <c r="A17" s="116" t="s">
        <v>109</v>
      </c>
      <c r="B17" s="113">
        <v>91</v>
      </c>
      <c r="C17" s="22">
        <f t="shared" si="2"/>
        <v>61</v>
      </c>
      <c r="D17" s="113">
        <v>34</v>
      </c>
      <c r="E17" s="113">
        <f t="shared" si="0"/>
        <v>55.737704918032783</v>
      </c>
      <c r="F17" s="129">
        <v>136.44721999999999</v>
      </c>
      <c r="G17" s="113">
        <f t="shared" si="4"/>
        <v>90.96</v>
      </c>
      <c r="H17" s="113">
        <v>49.573740000000001</v>
      </c>
      <c r="I17" s="113">
        <f t="shared" si="1"/>
        <v>54.500593667546184</v>
      </c>
      <c r="J17" s="105"/>
    </row>
    <row r="18" spans="1:204" s="35" customFormat="1" ht="38.1" customHeight="1" thickBot="1" x14ac:dyDescent="0.3">
      <c r="A18" s="731" t="s">
        <v>123</v>
      </c>
      <c r="B18" s="174">
        <v>5565</v>
      </c>
      <c r="C18" s="704">
        <f>ROUND(B18/12*$A$2,0)</f>
        <v>3710</v>
      </c>
      <c r="D18" s="174">
        <v>3565</v>
      </c>
      <c r="E18" s="174">
        <f t="shared" si="0"/>
        <v>96.091644204851761</v>
      </c>
      <c r="F18" s="129">
        <v>8285.1720000000005</v>
      </c>
      <c r="G18" s="113">
        <f t="shared" si="4"/>
        <v>5523.45</v>
      </c>
      <c r="H18" s="174">
        <v>5294.4128499999997</v>
      </c>
      <c r="I18" s="174">
        <f>H18/G18*100</f>
        <v>95.853367913170203</v>
      </c>
      <c r="J18" s="105"/>
    </row>
    <row r="19" spans="1:204" s="13" customFormat="1" ht="27" customHeight="1" thickBot="1" x14ac:dyDescent="0.3">
      <c r="A19" s="204" t="s">
        <v>3</v>
      </c>
      <c r="B19" s="339">
        <f>B14+B9</f>
        <v>2746</v>
      </c>
      <c r="C19" s="339">
        <f>C14+C9</f>
        <v>1831</v>
      </c>
      <c r="D19" s="339">
        <f>D14+D9</f>
        <v>1436</v>
      </c>
      <c r="E19" s="339">
        <f t="shared" si="0"/>
        <v>78.427089022392138</v>
      </c>
      <c r="F19" s="375">
        <f>F14+F9+F18</f>
        <v>16929.04477</v>
      </c>
      <c r="G19" s="375">
        <f>G14+G9+G18</f>
        <v>11286.02</v>
      </c>
      <c r="H19" s="375">
        <f>H14+H9+H18</f>
        <v>10332.760760000001</v>
      </c>
      <c r="I19" s="339">
        <f t="shared" si="1"/>
        <v>91.553627939698856</v>
      </c>
      <c r="J19" s="105"/>
      <c r="K19" s="35"/>
    </row>
    <row r="20" spans="1:204" x14ac:dyDescent="0.25">
      <c r="A20" s="729" t="s">
        <v>12</v>
      </c>
      <c r="B20" s="50"/>
      <c r="C20" s="50"/>
      <c r="D20" s="50"/>
      <c r="E20" s="50"/>
      <c r="F20" s="75"/>
      <c r="G20" s="75"/>
      <c r="H20" s="120"/>
      <c r="I20" s="75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</row>
    <row r="21" spans="1:204" s="10" customFormat="1" ht="30" x14ac:dyDescent="0.25">
      <c r="A21" s="244" t="s">
        <v>120</v>
      </c>
      <c r="B21" s="243">
        <f t="shared" ref="B21:F29" si="5">B9</f>
        <v>1227</v>
      </c>
      <c r="C21" s="243">
        <f t="shared" si="5"/>
        <v>818</v>
      </c>
      <c r="D21" s="243">
        <f t="shared" si="5"/>
        <v>630</v>
      </c>
      <c r="E21" s="243">
        <f t="shared" si="5"/>
        <v>77.017114914425434</v>
      </c>
      <c r="F21" s="243">
        <f t="shared" si="5"/>
        <v>3253.9132599999998</v>
      </c>
      <c r="G21" s="243">
        <f t="shared" ref="G21:I26" si="6">G9</f>
        <v>2169.27</v>
      </c>
      <c r="H21" s="243">
        <f t="shared" si="6"/>
        <v>1838.9934899999998</v>
      </c>
      <c r="I21" s="243">
        <f t="shared" si="6"/>
        <v>84.774762477699866</v>
      </c>
    </row>
    <row r="22" spans="1:204" s="10" customFormat="1" ht="30" x14ac:dyDescent="0.25">
      <c r="A22" s="245" t="s">
        <v>79</v>
      </c>
      <c r="B22" s="243">
        <f t="shared" si="5"/>
        <v>900</v>
      </c>
      <c r="C22" s="243">
        <f t="shared" si="5"/>
        <v>600</v>
      </c>
      <c r="D22" s="243">
        <f t="shared" si="5"/>
        <v>562</v>
      </c>
      <c r="E22" s="243">
        <f t="shared" si="5"/>
        <v>93.666666666666671</v>
      </c>
      <c r="F22" s="243">
        <f t="shared" si="5"/>
        <v>1940.569</v>
      </c>
      <c r="G22" s="243">
        <f t="shared" si="6"/>
        <v>1293.71</v>
      </c>
      <c r="H22" s="243">
        <f t="shared" si="6"/>
        <v>1273.28117</v>
      </c>
      <c r="I22" s="243">
        <f t="shared" si="6"/>
        <v>98.420911177930137</v>
      </c>
    </row>
    <row r="23" spans="1:204" s="10" customFormat="1" ht="30" x14ac:dyDescent="0.25">
      <c r="A23" s="245" t="s">
        <v>80</v>
      </c>
      <c r="B23" s="243">
        <f t="shared" si="5"/>
        <v>270</v>
      </c>
      <c r="C23" s="243">
        <f t="shared" si="5"/>
        <v>180</v>
      </c>
      <c r="D23" s="243">
        <f t="shared" si="5"/>
        <v>15</v>
      </c>
      <c r="E23" s="243">
        <f t="shared" si="5"/>
        <v>8.3333333333333321</v>
      </c>
      <c r="F23" s="243">
        <f t="shared" si="5"/>
        <v>741.1543200000001</v>
      </c>
      <c r="G23" s="243">
        <f t="shared" si="6"/>
        <v>494.1</v>
      </c>
      <c r="H23" s="243">
        <f t="shared" si="6"/>
        <v>33.67606</v>
      </c>
      <c r="I23" s="243">
        <f t="shared" si="6"/>
        <v>6.8156365108277672</v>
      </c>
    </row>
    <row r="24" spans="1:204" s="10" customFormat="1" ht="45" x14ac:dyDescent="0.25">
      <c r="A24" s="245" t="s">
        <v>130</v>
      </c>
      <c r="B24" s="243">
        <f t="shared" si="5"/>
        <v>20</v>
      </c>
      <c r="C24" s="243">
        <f t="shared" si="5"/>
        <v>13</v>
      </c>
      <c r="D24" s="243">
        <f t="shared" si="5"/>
        <v>20</v>
      </c>
      <c r="E24" s="243">
        <f t="shared" si="5"/>
        <v>153.84615384615387</v>
      </c>
      <c r="F24" s="243">
        <f t="shared" si="5"/>
        <v>200.76839999999999</v>
      </c>
      <c r="G24" s="243">
        <f t="shared" si="6"/>
        <v>133.85</v>
      </c>
      <c r="H24" s="243">
        <f t="shared" si="6"/>
        <v>200.76839999999999</v>
      </c>
      <c r="I24" s="243">
        <f t="shared" si="6"/>
        <v>149.99506910720956</v>
      </c>
    </row>
    <row r="25" spans="1:204" s="10" customFormat="1" ht="30" x14ac:dyDescent="0.25">
      <c r="A25" s="245" t="s">
        <v>111</v>
      </c>
      <c r="B25" s="243">
        <f t="shared" si="5"/>
        <v>37</v>
      </c>
      <c r="C25" s="243">
        <f t="shared" si="5"/>
        <v>25</v>
      </c>
      <c r="D25" s="243">
        <f t="shared" si="5"/>
        <v>33</v>
      </c>
      <c r="E25" s="243">
        <f t="shared" si="5"/>
        <v>132</v>
      </c>
      <c r="F25" s="243">
        <f t="shared" si="5"/>
        <v>371.42153999999999</v>
      </c>
      <c r="G25" s="243">
        <f t="shared" si="6"/>
        <v>247.61</v>
      </c>
      <c r="H25" s="243">
        <f t="shared" si="6"/>
        <v>331.26785999999998</v>
      </c>
      <c r="I25" s="243">
        <f t="shared" si="6"/>
        <v>133.78613949355841</v>
      </c>
    </row>
    <row r="26" spans="1:204" s="10" customFormat="1" ht="30" x14ac:dyDescent="0.25">
      <c r="A26" s="244" t="s">
        <v>112</v>
      </c>
      <c r="B26" s="243">
        <f t="shared" si="5"/>
        <v>1519</v>
      </c>
      <c r="C26" s="243">
        <f t="shared" si="5"/>
        <v>1013</v>
      </c>
      <c r="D26" s="243">
        <f t="shared" si="5"/>
        <v>806</v>
      </c>
      <c r="E26" s="243">
        <f t="shared" si="5"/>
        <v>79.565646594274426</v>
      </c>
      <c r="F26" s="243">
        <f t="shared" si="5"/>
        <v>5389.9595099999997</v>
      </c>
      <c r="G26" s="243">
        <f t="shared" si="6"/>
        <v>3593.3</v>
      </c>
      <c r="H26" s="243">
        <f t="shared" si="6"/>
        <v>3199.3544200000001</v>
      </c>
      <c r="I26" s="243">
        <f t="shared" si="6"/>
        <v>89.036663234352815</v>
      </c>
    </row>
    <row r="27" spans="1:204" s="10" customFormat="1" ht="30" x14ac:dyDescent="0.25">
      <c r="A27" s="245" t="s">
        <v>108</v>
      </c>
      <c r="B27" s="243">
        <f t="shared" si="5"/>
        <v>100</v>
      </c>
      <c r="C27" s="243">
        <f t="shared" si="5"/>
        <v>67</v>
      </c>
      <c r="D27" s="243">
        <f t="shared" si="5"/>
        <v>57</v>
      </c>
      <c r="E27" s="243">
        <f t="shared" si="5"/>
        <v>85.074626865671647</v>
      </c>
      <c r="F27" s="243">
        <f t="shared" si="5"/>
        <v>324.38797</v>
      </c>
      <c r="G27" s="243">
        <f t="shared" ref="G27:I29" si="7">G15</f>
        <v>216.26</v>
      </c>
      <c r="H27" s="243">
        <f t="shared" si="7"/>
        <v>178.00201000000001</v>
      </c>
      <c r="I27" s="243">
        <f t="shared" si="7"/>
        <v>82.309261999445127</v>
      </c>
    </row>
    <row r="28" spans="1:204" s="10" customFormat="1" ht="62.25" customHeight="1" x14ac:dyDescent="0.25">
      <c r="A28" s="245" t="s">
        <v>81</v>
      </c>
      <c r="B28" s="243">
        <f t="shared" si="5"/>
        <v>1328</v>
      </c>
      <c r="C28" s="243">
        <f t="shared" si="5"/>
        <v>885</v>
      </c>
      <c r="D28" s="243">
        <f t="shared" si="5"/>
        <v>715</v>
      </c>
      <c r="E28" s="243">
        <f t="shared" si="5"/>
        <v>80.790960451977398</v>
      </c>
      <c r="F28" s="243">
        <f t="shared" si="5"/>
        <v>4929.1243199999999</v>
      </c>
      <c r="G28" s="243">
        <f t="shared" si="7"/>
        <v>3286.08</v>
      </c>
      <c r="H28" s="243">
        <f t="shared" si="7"/>
        <v>2971.7786700000001</v>
      </c>
      <c r="I28" s="243">
        <f t="shared" si="7"/>
        <v>90.435371932515338</v>
      </c>
    </row>
    <row r="29" spans="1:204" s="10" customFormat="1" ht="45" x14ac:dyDescent="0.25">
      <c r="A29" s="245" t="s">
        <v>109</v>
      </c>
      <c r="B29" s="243">
        <f t="shared" si="5"/>
        <v>91</v>
      </c>
      <c r="C29" s="243">
        <f t="shared" si="5"/>
        <v>61</v>
      </c>
      <c r="D29" s="243">
        <f t="shared" si="5"/>
        <v>34</v>
      </c>
      <c r="E29" s="243">
        <f t="shared" si="5"/>
        <v>55.737704918032783</v>
      </c>
      <c r="F29" s="243">
        <f t="shared" si="5"/>
        <v>136.44721999999999</v>
      </c>
      <c r="G29" s="243">
        <f t="shared" si="7"/>
        <v>90.96</v>
      </c>
      <c r="H29" s="243">
        <f t="shared" si="7"/>
        <v>49.573740000000001</v>
      </c>
      <c r="I29" s="243">
        <f t="shared" si="7"/>
        <v>54.500593667546184</v>
      </c>
    </row>
    <row r="30" spans="1:204" s="10" customFormat="1" ht="38.1" customHeight="1" x14ac:dyDescent="0.25">
      <c r="A30" s="306" t="s">
        <v>123</v>
      </c>
      <c r="B30" s="243">
        <f t="shared" ref="B30:E30" si="8">B18</f>
        <v>5565</v>
      </c>
      <c r="C30" s="243">
        <f t="shared" si="8"/>
        <v>3710</v>
      </c>
      <c r="D30" s="243">
        <f t="shared" si="8"/>
        <v>3565</v>
      </c>
      <c r="E30" s="243">
        <f t="shared" si="8"/>
        <v>96.091644204851761</v>
      </c>
      <c r="F30" s="243">
        <f t="shared" ref="F30" si="9">F18</f>
        <v>8285.1720000000005</v>
      </c>
      <c r="G30" s="243">
        <f t="shared" ref="G30:I30" si="10">G18</f>
        <v>5523.45</v>
      </c>
      <c r="H30" s="243">
        <f t="shared" si="10"/>
        <v>5294.4128499999997</v>
      </c>
      <c r="I30" s="243">
        <f t="shared" si="10"/>
        <v>95.853367913170203</v>
      </c>
    </row>
    <row r="31" spans="1:204" ht="15.75" thickBot="1" x14ac:dyDescent="0.3">
      <c r="A31" s="640" t="s">
        <v>4</v>
      </c>
      <c r="B31" s="641"/>
      <c r="C31" s="641"/>
      <c r="D31" s="641"/>
      <c r="E31" s="641"/>
      <c r="F31" s="641">
        <f>F19</f>
        <v>16929.04477</v>
      </c>
      <c r="G31" s="641">
        <f>G19</f>
        <v>11286.02</v>
      </c>
      <c r="H31" s="641">
        <f>H19</f>
        <v>10332.760760000001</v>
      </c>
      <c r="I31" s="641">
        <f>I19</f>
        <v>91.553627939698856</v>
      </c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</row>
    <row r="32" spans="1:204" ht="17.25" customHeight="1" x14ac:dyDescent="0.25"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</row>
  </sheetData>
  <mergeCells count="3">
    <mergeCell ref="A1:I1"/>
    <mergeCell ref="B4:E4"/>
    <mergeCell ref="F4:I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GC264"/>
  <sheetViews>
    <sheetView showZeros="0" zoomScaleNormal="100" zoomScaleSheetLayoutView="100" workbookViewId="0">
      <pane xSplit="1" ySplit="6" topLeftCell="B248" activePane="bottomRight" state="frozen"/>
      <selection pane="topRight" activeCell="B1" sqref="B1"/>
      <selection pane="bottomLeft" activeCell="A7" sqref="A7"/>
      <selection pane="bottomRight" activeCell="C254" sqref="C254"/>
    </sheetView>
  </sheetViews>
  <sheetFormatPr defaultColWidth="9.140625" defaultRowHeight="15" x14ac:dyDescent="0.25"/>
  <cols>
    <col min="1" max="1" width="41.140625" style="44" customWidth="1"/>
    <col min="2" max="2" width="13" style="57" customWidth="1"/>
    <col min="3" max="3" width="14.42578125" style="57" customWidth="1"/>
    <col min="4" max="4" width="13.42578125" style="57" customWidth="1"/>
    <col min="5" max="5" width="9" style="177" customWidth="1"/>
    <col min="6" max="6" width="12.28515625" style="44" customWidth="1"/>
    <col min="7" max="7" width="13.42578125" style="44" customWidth="1"/>
    <col min="8" max="8" width="13.5703125" style="44" customWidth="1"/>
    <col min="9" max="9" width="11.28515625" style="44" customWidth="1"/>
    <col min="10" max="10" width="15.7109375" style="44" customWidth="1"/>
    <col min="11" max="11" width="13.28515625" style="726" customWidth="1"/>
    <col min="12" max="12" width="18.28515625" style="726" customWidth="1"/>
    <col min="13" max="14" width="13.42578125" style="44" bestFit="1" customWidth="1"/>
    <col min="15" max="16384" width="9.140625" style="44"/>
  </cols>
  <sheetData>
    <row r="1" spans="1:185" ht="59.25" customHeight="1" x14ac:dyDescent="0.25">
      <c r="A1" s="764" t="s">
        <v>138</v>
      </c>
      <c r="B1" s="766"/>
      <c r="C1" s="766"/>
      <c r="D1" s="766"/>
      <c r="E1" s="766"/>
      <c r="F1" s="766"/>
      <c r="G1" s="766"/>
      <c r="H1" s="766"/>
      <c r="I1" s="766"/>
    </row>
    <row r="2" spans="1:185" ht="16.5" customHeight="1" thickBot="1" x14ac:dyDescent="0.3">
      <c r="A2" s="764"/>
      <c r="B2" s="765"/>
      <c r="C2" s="765"/>
      <c r="D2" s="765"/>
      <c r="E2" s="765"/>
      <c r="F2" s="765"/>
      <c r="G2" s="765"/>
      <c r="H2" s="765"/>
      <c r="I2" s="765"/>
    </row>
    <row r="3" spans="1:185" ht="15" hidden="1" customHeight="1" thickBot="1" x14ac:dyDescent="0.3">
      <c r="A3" s="656">
        <v>8</v>
      </c>
    </row>
    <row r="4" spans="1:185" ht="30" customHeight="1" thickBot="1" x14ac:dyDescent="0.3">
      <c r="A4" s="38" t="s">
        <v>0</v>
      </c>
      <c r="B4" s="761" t="s">
        <v>102</v>
      </c>
      <c r="C4" s="762"/>
      <c r="D4" s="762"/>
      <c r="E4" s="763"/>
      <c r="F4" s="761" t="s">
        <v>101</v>
      </c>
      <c r="G4" s="762"/>
      <c r="H4" s="762"/>
      <c r="I4" s="763"/>
    </row>
    <row r="5" spans="1:185" ht="60.75" thickBot="1" x14ac:dyDescent="0.3">
      <c r="A5" s="39"/>
      <c r="B5" s="297" t="s">
        <v>128</v>
      </c>
      <c r="C5" s="297" t="s">
        <v>139</v>
      </c>
      <c r="D5" s="297" t="s">
        <v>103</v>
      </c>
      <c r="E5" s="95" t="s">
        <v>35</v>
      </c>
      <c r="F5" s="297" t="s">
        <v>129</v>
      </c>
      <c r="G5" s="297" t="s">
        <v>136</v>
      </c>
      <c r="H5" s="298" t="s">
        <v>104</v>
      </c>
      <c r="I5" s="95" t="s">
        <v>35</v>
      </c>
    </row>
    <row r="6" spans="1:185" s="18" customFormat="1" ht="15.75" thickBot="1" x14ac:dyDescent="0.3">
      <c r="A6" s="55">
        <v>1</v>
      </c>
      <c r="B6" s="55">
        <v>2</v>
      </c>
      <c r="C6" s="55">
        <v>3</v>
      </c>
      <c r="D6" s="55">
        <v>4</v>
      </c>
      <c r="E6" s="55">
        <v>5</v>
      </c>
      <c r="F6" s="55">
        <v>6</v>
      </c>
      <c r="G6" s="55">
        <v>7</v>
      </c>
      <c r="H6" s="55">
        <v>8</v>
      </c>
      <c r="I6" s="55">
        <v>9</v>
      </c>
      <c r="J6" s="187"/>
      <c r="K6" s="726"/>
      <c r="L6" s="727"/>
    </row>
    <row r="7" spans="1:185" s="45" customFormat="1" ht="15" customHeight="1" x14ac:dyDescent="0.25">
      <c r="A7" s="41" t="s">
        <v>16</v>
      </c>
      <c r="B7" s="43"/>
      <c r="C7" s="43"/>
      <c r="D7" s="43"/>
      <c r="E7" s="178"/>
      <c r="F7" s="58"/>
      <c r="G7" s="58"/>
      <c r="H7" s="58"/>
      <c r="I7" s="58"/>
      <c r="K7" s="726"/>
      <c r="L7" s="727"/>
    </row>
    <row r="8" spans="1:185" ht="30" x14ac:dyDescent="0.25">
      <c r="A8" s="538" t="s">
        <v>120</v>
      </c>
      <c r="B8" s="539">
        <f>'1 уровень'!C241</f>
        <v>136098</v>
      </c>
      <c r="C8" s="539">
        <f>'1 уровень'!D241</f>
        <v>90730</v>
      </c>
      <c r="D8" s="539">
        <f>'1 уровень'!E241</f>
        <v>90704</v>
      </c>
      <c r="E8" s="540">
        <f>'1 уровень'!F241</f>
        <v>99.971343546787168</v>
      </c>
      <c r="F8" s="541">
        <f>'1 уровень'!G241</f>
        <v>194960.87882999997</v>
      </c>
      <c r="G8" s="541">
        <f>'1 уровень'!H241</f>
        <v>129973.90999999999</v>
      </c>
      <c r="H8" s="541">
        <f>'1 уровень'!I241</f>
        <v>127017.61026</v>
      </c>
      <c r="I8" s="541">
        <f>'1 уровень'!J241</f>
        <v>97.725466795605371</v>
      </c>
      <c r="J8" s="103"/>
      <c r="L8" s="727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</row>
    <row r="9" spans="1:185" ht="30" x14ac:dyDescent="0.25">
      <c r="A9" s="116" t="s">
        <v>79</v>
      </c>
      <c r="B9" s="49">
        <f>'1 уровень'!C242</f>
        <v>103458</v>
      </c>
      <c r="C9" s="49">
        <f>'1 уровень'!D242</f>
        <v>68972</v>
      </c>
      <c r="D9" s="49">
        <f>'1 уровень'!E242</f>
        <v>68918</v>
      </c>
      <c r="E9" s="180">
        <f>'1 уровень'!F242</f>
        <v>99.921707359508204</v>
      </c>
      <c r="F9" s="59">
        <f>'1 уровень'!G242</f>
        <v>138915.41019999998</v>
      </c>
      <c r="G9" s="59">
        <f>'1 уровень'!H242</f>
        <v>92610.26999999999</v>
      </c>
      <c r="H9" s="59">
        <f>'1 уровень'!I242</f>
        <v>87776.017460000003</v>
      </c>
      <c r="I9" s="59">
        <f>'1 уровень'!J242</f>
        <v>94.780003837587358</v>
      </c>
      <c r="J9" s="103"/>
      <c r="L9" s="727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</row>
    <row r="10" spans="1:185" ht="30" x14ac:dyDescent="0.25">
      <c r="A10" s="116" t="s">
        <v>80</v>
      </c>
      <c r="B10" s="49">
        <f>'1 уровень'!C243</f>
        <v>31037</v>
      </c>
      <c r="C10" s="49">
        <f>'1 уровень'!D243</f>
        <v>20692</v>
      </c>
      <c r="D10" s="49">
        <f>'1 уровень'!E243</f>
        <v>20154</v>
      </c>
      <c r="E10" s="180">
        <f>'1 уровень'!F243</f>
        <v>97.399961337715055</v>
      </c>
      <c r="F10" s="59">
        <f>'1 уровень'!G243</f>
        <v>47279.62343</v>
      </c>
      <c r="G10" s="59">
        <f>'1 уровень'!H243</f>
        <v>31519.740000000005</v>
      </c>
      <c r="H10" s="59">
        <f>'1 уровень'!I243</f>
        <v>30552.305909999995</v>
      </c>
      <c r="I10" s="59">
        <f>'1 уровень'!J243</f>
        <v>96.930704092102246</v>
      </c>
      <c r="J10" s="103"/>
      <c r="L10" s="727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</row>
    <row r="11" spans="1:185" ht="45" x14ac:dyDescent="0.25">
      <c r="A11" s="116" t="s">
        <v>110</v>
      </c>
      <c r="B11" s="49">
        <f>'1 уровень'!C244</f>
        <v>846</v>
      </c>
      <c r="C11" s="49">
        <f>'1 уровень'!D244</f>
        <v>563</v>
      </c>
      <c r="D11" s="49">
        <f>'1 уровень'!E244</f>
        <v>863</v>
      </c>
      <c r="E11" s="180">
        <f>'1 уровень'!F244</f>
        <v>153.28596802841918</v>
      </c>
      <c r="F11" s="59">
        <f>'1 уровень'!G244</f>
        <v>4626.2663999999995</v>
      </c>
      <c r="G11" s="59">
        <f>'1 уровень'!H244</f>
        <v>3084.17</v>
      </c>
      <c r="H11" s="59">
        <f>'1 уровень'!I244</f>
        <v>4525.1010000000006</v>
      </c>
      <c r="I11" s="59">
        <f>'1 уровень'!J244</f>
        <v>146.72021970254559</v>
      </c>
      <c r="J11" s="103"/>
      <c r="L11" s="727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</row>
    <row r="12" spans="1:185" ht="30" x14ac:dyDescent="0.25">
      <c r="A12" s="116" t="s">
        <v>111</v>
      </c>
      <c r="B12" s="49">
        <f>'1 уровень'!C245</f>
        <v>757</v>
      </c>
      <c r="C12" s="49">
        <f>'1 уровень'!D245</f>
        <v>503</v>
      </c>
      <c r="D12" s="49">
        <f>'1 уровень'!E245</f>
        <v>769</v>
      </c>
      <c r="E12" s="180">
        <f>'1 уровень'!F245</f>
        <v>152.88270377733599</v>
      </c>
      <c r="F12" s="59">
        <f>'1 уровень'!G245</f>
        <v>4139.5787999999993</v>
      </c>
      <c r="G12" s="59">
        <f>'1 уровень'!H245</f>
        <v>2759.73</v>
      </c>
      <c r="H12" s="59">
        <f>'1 уровень'!I245</f>
        <v>4164.1858900000007</v>
      </c>
      <c r="I12" s="59">
        <f>'1 уровень'!J245</f>
        <v>150.89106144441669</v>
      </c>
      <c r="J12" s="103"/>
      <c r="L12" s="727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</row>
    <row r="13" spans="1:185" ht="30" x14ac:dyDescent="0.25">
      <c r="A13" s="542" t="s">
        <v>112</v>
      </c>
      <c r="B13" s="539">
        <f>'1 уровень'!C246</f>
        <v>150239</v>
      </c>
      <c r="C13" s="539">
        <f>'1 уровень'!D246</f>
        <v>100158</v>
      </c>
      <c r="D13" s="539">
        <f>'1 уровень'!E246</f>
        <v>98480</v>
      </c>
      <c r="E13" s="540">
        <f>'1 уровень'!F246</f>
        <v>98.324647057648917</v>
      </c>
      <c r="F13" s="541">
        <f>'1 уровень'!G246</f>
        <v>299908.21309999999</v>
      </c>
      <c r="G13" s="541">
        <f>'1 уровень'!H246</f>
        <v>199938.8</v>
      </c>
      <c r="H13" s="541">
        <f>'1 уровень'!I246</f>
        <v>187959.01718000005</v>
      </c>
      <c r="I13" s="541">
        <f>'1 уровень'!J246</f>
        <v>94.008275122187428</v>
      </c>
      <c r="J13" s="103"/>
      <c r="L13" s="727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</row>
    <row r="14" spans="1:185" ht="30" x14ac:dyDescent="0.25">
      <c r="A14" s="116" t="s">
        <v>108</v>
      </c>
      <c r="B14" s="49">
        <f>'1 уровень'!C247</f>
        <v>20598</v>
      </c>
      <c r="C14" s="49">
        <f>'1 уровень'!D247</f>
        <v>13732</v>
      </c>
      <c r="D14" s="49">
        <f>'1 уровень'!E247</f>
        <v>13039</v>
      </c>
      <c r="E14" s="180">
        <f>'1 уровень'!F247</f>
        <v>94.953393533352752</v>
      </c>
      <c r="F14" s="59">
        <f>'1 уровень'!G247</f>
        <v>36398.725800000007</v>
      </c>
      <c r="G14" s="59">
        <f>'1 уровень'!H247</f>
        <v>24265.81</v>
      </c>
      <c r="H14" s="59">
        <f>'1 уровень'!I247</f>
        <v>22952.542570000001</v>
      </c>
      <c r="I14" s="59">
        <f>'1 уровень'!J247</f>
        <v>94.587992611827104</v>
      </c>
      <c r="J14" s="103"/>
      <c r="L14" s="727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</row>
    <row r="15" spans="1:185" ht="60" x14ac:dyDescent="0.25">
      <c r="A15" s="116" t="s">
        <v>81</v>
      </c>
      <c r="B15" s="49">
        <f>'1 уровень'!C248</f>
        <v>105307</v>
      </c>
      <c r="C15" s="49">
        <f>'1 уровень'!D248</f>
        <v>70204</v>
      </c>
      <c r="D15" s="49">
        <f>'1 уровень'!E248</f>
        <v>67194</v>
      </c>
      <c r="E15" s="180">
        <f>'1 уровень'!F248</f>
        <v>95.712495014529082</v>
      </c>
      <c r="F15" s="59">
        <f>'1 уровень'!G248</f>
        <v>243133.47609999997</v>
      </c>
      <c r="G15" s="59">
        <f>'1 уровень'!H248</f>
        <v>162088.97999999998</v>
      </c>
      <c r="H15" s="59">
        <f>'1 уровень'!I248</f>
        <v>147979.57080999998</v>
      </c>
      <c r="I15" s="59">
        <f>'1 уровень'!J248</f>
        <v>91.295269308252784</v>
      </c>
      <c r="J15" s="103"/>
      <c r="L15" s="727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</row>
    <row r="16" spans="1:185" ht="45" x14ac:dyDescent="0.25">
      <c r="A16" s="116" t="s">
        <v>109</v>
      </c>
      <c r="B16" s="49">
        <f>'1 уровень'!C249</f>
        <v>24334</v>
      </c>
      <c r="C16" s="49">
        <f>'1 уровень'!D249</f>
        <v>16222</v>
      </c>
      <c r="D16" s="49">
        <f>'1 уровень'!E249</f>
        <v>18247</v>
      </c>
      <c r="E16" s="180">
        <f>'1 уровень'!F249</f>
        <v>112.48304771298237</v>
      </c>
      <c r="F16" s="59">
        <f>'1 уровень'!G249</f>
        <v>20376.011200000001</v>
      </c>
      <c r="G16" s="59">
        <f>'1 уровень'!H249</f>
        <v>13584.010000000002</v>
      </c>
      <c r="H16" s="59">
        <f>'1 уровень'!I249</f>
        <v>17026.9038</v>
      </c>
      <c r="I16" s="59">
        <f>'1 уровень'!J249</f>
        <v>125.34519482833124</v>
      </c>
      <c r="J16" s="103"/>
      <c r="L16" s="727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</row>
    <row r="17" spans="1:185" ht="30" x14ac:dyDescent="0.25">
      <c r="A17" s="667" t="s">
        <v>123</v>
      </c>
      <c r="B17" s="544">
        <f>'1 уровень'!C250</f>
        <v>295944.8</v>
      </c>
      <c r="C17" s="544">
        <f>'1 уровень'!D250</f>
        <v>197298</v>
      </c>
      <c r="D17" s="49">
        <f>'1 уровень'!E250</f>
        <v>197742</v>
      </c>
      <c r="E17" s="545">
        <f>'1 уровень'!F250</f>
        <v>100.22504029437704</v>
      </c>
      <c r="F17" s="59">
        <f>'1 уровень'!G250</f>
        <v>240017.31389999998</v>
      </c>
      <c r="G17" s="571">
        <f>'1 уровень'!H250</f>
        <v>160011.54</v>
      </c>
      <c r="H17" s="571">
        <f>'1 уровень'!I250</f>
        <v>159979.01558000001</v>
      </c>
      <c r="I17" s="571">
        <f>'1 уровень'!J250</f>
        <v>99.979673703534132</v>
      </c>
      <c r="J17" s="103"/>
      <c r="K17" s="103"/>
      <c r="L17" s="103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</row>
    <row r="18" spans="1:185" ht="30" x14ac:dyDescent="0.25">
      <c r="A18" s="116" t="s">
        <v>124</v>
      </c>
      <c r="B18" s="544">
        <f>'1 уровень'!C251</f>
        <v>25864.400000000001</v>
      </c>
      <c r="C18" s="544">
        <f>'1 уровень'!D251</f>
        <v>17243</v>
      </c>
      <c r="D18" s="49">
        <f>'1 уровень'!E251</f>
        <v>18397</v>
      </c>
      <c r="E18" s="545">
        <f>'1 уровень'!F251</f>
        <v>106.69257089833555</v>
      </c>
      <c r="F18" s="59">
        <f>'1 уровень'!G251</f>
        <v>20976.617719373913</v>
      </c>
      <c r="G18" s="571">
        <f>'1 уровень'!H251</f>
        <v>13984.41</v>
      </c>
      <c r="H18" s="571">
        <f>'1 уровень'!I251</f>
        <v>14901.065259999999</v>
      </c>
      <c r="I18" s="571">
        <f>'1 уровень'!J251</f>
        <v>106.55483685046418</v>
      </c>
      <c r="J18" s="103"/>
      <c r="K18" s="103"/>
      <c r="L18" s="103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</row>
    <row r="19" spans="1:185" ht="24" customHeight="1" thickBot="1" x14ac:dyDescent="0.3">
      <c r="A19" s="667" t="s">
        <v>125</v>
      </c>
      <c r="B19" s="544">
        <f>'1 уровень'!C252</f>
        <v>9471.6</v>
      </c>
      <c r="C19" s="544">
        <f>'1 уровень'!D252</f>
        <v>6314</v>
      </c>
      <c r="D19" s="49">
        <f>'1 уровень'!E252</f>
        <v>7671</v>
      </c>
      <c r="E19" s="545">
        <f>'1 уровень'!F252</f>
        <v>121.4919227114349</v>
      </c>
      <c r="F19" s="59">
        <f>'1 уровень'!G252</f>
        <v>7681.7064666208862</v>
      </c>
      <c r="G19" s="571">
        <f>'1 уровень'!H252</f>
        <v>5121.1399999999994</v>
      </c>
      <c r="H19" s="571">
        <f>'1 уровень'!I252</f>
        <v>6213.8695000000007</v>
      </c>
      <c r="I19" s="571">
        <f>'1 уровень'!J252</f>
        <v>121.33762209195611</v>
      </c>
      <c r="J19" s="103"/>
      <c r="K19" s="103"/>
      <c r="L19" s="103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</row>
    <row r="20" spans="1:185" ht="15.75" thickBot="1" x14ac:dyDescent="0.3">
      <c r="A20" s="548" t="s">
        <v>106</v>
      </c>
      <c r="B20" s="549">
        <f>'1 уровень'!C253</f>
        <v>0</v>
      </c>
      <c r="C20" s="549">
        <f>'1 уровень'!D253</f>
        <v>0</v>
      </c>
      <c r="D20" s="549">
        <f>'1 уровень'!E253</f>
        <v>0</v>
      </c>
      <c r="E20" s="550">
        <f>'1 уровень'!F253</f>
        <v>0</v>
      </c>
      <c r="F20" s="576">
        <f>'1 уровень'!G253</f>
        <v>734886.40583000006</v>
      </c>
      <c r="G20" s="576">
        <f>'1 уровень'!H253</f>
        <v>489924.25</v>
      </c>
      <c r="H20" s="576">
        <f>'1 уровень'!I253</f>
        <v>474955.64302000008</v>
      </c>
      <c r="I20" s="576">
        <f>'1 уровень'!J253</f>
        <v>96.944709926075319</v>
      </c>
      <c r="J20" s="103"/>
      <c r="L20" s="727"/>
    </row>
    <row r="21" spans="1:185" ht="15.75" customHeight="1" thickBot="1" x14ac:dyDescent="0.3">
      <c r="A21" s="572"/>
      <c r="B21" s="573"/>
      <c r="C21" s="573"/>
      <c r="D21" s="573"/>
      <c r="E21" s="574"/>
      <c r="F21" s="575"/>
      <c r="G21" s="575"/>
      <c r="H21" s="575"/>
      <c r="I21" s="575"/>
      <c r="J21" s="103"/>
      <c r="L21" s="727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</row>
    <row r="22" spans="1:185" s="45" customFormat="1" ht="15" customHeight="1" x14ac:dyDescent="0.25">
      <c r="A22" s="41" t="s">
        <v>17</v>
      </c>
      <c r="B22" s="60"/>
      <c r="C22" s="60"/>
      <c r="D22" s="60"/>
      <c r="E22" s="181"/>
      <c r="F22" s="61"/>
      <c r="G22" s="61"/>
      <c r="H22" s="61"/>
      <c r="I22" s="61"/>
      <c r="J22" s="103"/>
      <c r="K22" s="726"/>
      <c r="L22" s="727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  <c r="CI22" s="44"/>
      <c r="CJ22" s="44"/>
      <c r="CK22" s="44"/>
      <c r="CL22" s="44"/>
      <c r="CM22" s="44"/>
      <c r="CN22" s="44"/>
      <c r="CO22" s="44"/>
      <c r="CP22" s="44"/>
      <c r="CQ22" s="44"/>
      <c r="CR22" s="44"/>
      <c r="CS22" s="44"/>
      <c r="CT22" s="44"/>
      <c r="CU22" s="44"/>
      <c r="CV22" s="44"/>
      <c r="CW22" s="44"/>
      <c r="CX22" s="44"/>
      <c r="CY22" s="44"/>
      <c r="CZ22" s="44"/>
      <c r="DA22" s="44"/>
      <c r="DB22" s="44"/>
      <c r="DC22" s="44"/>
      <c r="DD22" s="44"/>
      <c r="DE22" s="44"/>
      <c r="DF22" s="44"/>
      <c r="DG22" s="44"/>
      <c r="DH22" s="44"/>
      <c r="DI22" s="44"/>
      <c r="DJ22" s="44"/>
      <c r="DK22" s="44"/>
      <c r="DL22" s="44"/>
      <c r="DM22" s="44"/>
      <c r="DN22" s="44"/>
      <c r="DO22" s="44"/>
      <c r="DP22" s="44"/>
      <c r="DQ22" s="44"/>
      <c r="DR22" s="44"/>
      <c r="DS22" s="44"/>
      <c r="DT22" s="44"/>
      <c r="DU22" s="44"/>
      <c r="DV22" s="44"/>
      <c r="DW22" s="44"/>
      <c r="DX22" s="44"/>
      <c r="DY22" s="44"/>
      <c r="DZ22" s="44"/>
      <c r="EA22" s="44"/>
      <c r="EB22" s="44"/>
      <c r="EC22" s="44"/>
      <c r="ED22" s="44"/>
      <c r="EE22" s="44"/>
      <c r="EF22" s="44"/>
      <c r="EG22" s="44"/>
      <c r="EH22" s="44"/>
      <c r="EI22" s="44"/>
      <c r="EJ22" s="44"/>
      <c r="EK22" s="44"/>
      <c r="EL22" s="44"/>
      <c r="EM22" s="44"/>
      <c r="EN22" s="44"/>
      <c r="EO22" s="44"/>
      <c r="EP22" s="44"/>
      <c r="EQ22" s="44"/>
      <c r="ER22" s="44"/>
      <c r="ES22" s="44"/>
      <c r="ET22" s="44"/>
      <c r="EU22" s="44"/>
      <c r="EV22" s="44"/>
      <c r="EW22" s="44"/>
      <c r="EX22" s="44"/>
      <c r="EY22" s="44"/>
      <c r="EZ22" s="44"/>
      <c r="FA22" s="44"/>
      <c r="FB22" s="44"/>
      <c r="FC22" s="44"/>
      <c r="FD22" s="44"/>
      <c r="FE22" s="44"/>
      <c r="FF22" s="44"/>
      <c r="FG22" s="44"/>
      <c r="FH22" s="44"/>
      <c r="FI22" s="44"/>
      <c r="FJ22" s="44"/>
      <c r="FK22" s="44"/>
      <c r="FL22" s="44"/>
      <c r="FM22" s="44"/>
      <c r="FN22" s="44"/>
      <c r="FO22" s="44"/>
      <c r="FP22" s="44"/>
      <c r="FQ22" s="44"/>
      <c r="FR22" s="44"/>
      <c r="FS22" s="44"/>
      <c r="FT22" s="44"/>
      <c r="FU22" s="44"/>
      <c r="FV22" s="44"/>
      <c r="FW22" s="44"/>
      <c r="FX22" s="44"/>
      <c r="FY22" s="44"/>
      <c r="FZ22" s="44"/>
      <c r="GA22" s="44"/>
      <c r="GB22" s="44"/>
      <c r="GC22" s="44"/>
    </row>
    <row r="23" spans="1:185" ht="30" x14ac:dyDescent="0.25">
      <c r="A23" s="538" t="s">
        <v>120</v>
      </c>
      <c r="B23" s="539">
        <f>'2 уровень'!C101</f>
        <v>62921</v>
      </c>
      <c r="C23" s="539">
        <f>'2 уровень'!D101</f>
        <v>41948</v>
      </c>
      <c r="D23" s="539">
        <f>'2 уровень'!E101</f>
        <v>45432</v>
      </c>
      <c r="E23" s="540">
        <f>'2 уровень'!F101</f>
        <v>108.30552112138838</v>
      </c>
      <c r="F23" s="543">
        <f>'2 уровень'!G101</f>
        <v>102056.07931999999</v>
      </c>
      <c r="G23" s="543">
        <f>'2 уровень'!H101</f>
        <v>68037.400000000009</v>
      </c>
      <c r="H23" s="543">
        <f>'2 уровень'!I101</f>
        <v>75268.05025</v>
      </c>
      <c r="I23" s="543">
        <f>'2 уровень'!J101</f>
        <v>110.6274640859292</v>
      </c>
      <c r="J23" s="103"/>
      <c r="L23" s="727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</row>
    <row r="24" spans="1:185" ht="30" x14ac:dyDescent="0.25">
      <c r="A24" s="116" t="s">
        <v>79</v>
      </c>
      <c r="B24" s="49">
        <f>'2 уровень'!C102</f>
        <v>47780</v>
      </c>
      <c r="C24" s="49">
        <f>'2 уровень'!D102</f>
        <v>31854</v>
      </c>
      <c r="D24" s="49">
        <f>'2 уровень'!E102</f>
        <v>35291</v>
      </c>
      <c r="E24" s="180">
        <f>'2 уровень'!F102</f>
        <v>110.78985370754066</v>
      </c>
      <c r="F24" s="62">
        <f>'2 уровень'!G102</f>
        <v>71031.041419999994</v>
      </c>
      <c r="G24" s="62">
        <f>'2 уровень'!H102</f>
        <v>47354.04</v>
      </c>
      <c r="H24" s="62">
        <f>'2 уровень'!I102</f>
        <v>52992.80187000001</v>
      </c>
      <c r="I24" s="62">
        <f>'2 уровень'!J102</f>
        <v>111.90766800467291</v>
      </c>
      <c r="J24" s="103"/>
      <c r="L24" s="727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</row>
    <row r="25" spans="1:185" ht="30" x14ac:dyDescent="0.25">
      <c r="A25" s="116" t="s">
        <v>80</v>
      </c>
      <c r="B25" s="49">
        <f>'2 уровень'!C103</f>
        <v>14336</v>
      </c>
      <c r="C25" s="49">
        <f>'2 уровень'!D103</f>
        <v>9557</v>
      </c>
      <c r="D25" s="49">
        <f>'2 уровень'!E103</f>
        <v>9221</v>
      </c>
      <c r="E25" s="180">
        <f>'2 уровень'!F103</f>
        <v>96.484252380454123</v>
      </c>
      <c r="F25" s="62">
        <f>'2 уровень'!G103</f>
        <v>25742.563499999997</v>
      </c>
      <c r="G25" s="62">
        <f>'2 уровень'!H103</f>
        <v>17161.71</v>
      </c>
      <c r="H25" s="62">
        <f>'2 уровень'!I103</f>
        <v>16349.034690000004</v>
      </c>
      <c r="I25" s="62">
        <f>'2 уровень'!J103</f>
        <v>95.264601779193356</v>
      </c>
      <c r="J25" s="103"/>
      <c r="L25" s="727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</row>
    <row r="26" spans="1:185" ht="45" x14ac:dyDescent="0.25">
      <c r="A26" s="116" t="s">
        <v>99</v>
      </c>
      <c r="B26" s="49">
        <f>'2 уровень'!C104</f>
        <v>185</v>
      </c>
      <c r="C26" s="49">
        <f>'2 уровень'!D104</f>
        <v>123</v>
      </c>
      <c r="D26" s="49">
        <f>'2 уровень'!E104</f>
        <v>184</v>
      </c>
      <c r="E26" s="180">
        <f>'2 уровень'!F104</f>
        <v>149.59349593495935</v>
      </c>
      <c r="F26" s="62">
        <f>'2 уровень'!G104</f>
        <v>1213.9848000000002</v>
      </c>
      <c r="G26" s="62">
        <f>'2 уровень'!H104</f>
        <v>809.33</v>
      </c>
      <c r="H26" s="62">
        <f>'2 уровень'!I104</f>
        <v>1192.3299299999999</v>
      </c>
      <c r="I26" s="62">
        <f>'2 уровень'!J104</f>
        <v>147.32308576229718</v>
      </c>
      <c r="J26" s="103"/>
      <c r="L26" s="727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</row>
    <row r="27" spans="1:185" ht="30" x14ac:dyDescent="0.25">
      <c r="A27" s="116" t="s">
        <v>100</v>
      </c>
      <c r="B27" s="49">
        <f>'2 уровень'!C105</f>
        <v>620</v>
      </c>
      <c r="C27" s="49">
        <f>'2 уровень'!D105</f>
        <v>414</v>
      </c>
      <c r="D27" s="49">
        <f>'2 уровень'!E105</f>
        <v>736</v>
      </c>
      <c r="E27" s="180">
        <f>'2 уровень'!F105</f>
        <v>177.77777777777777</v>
      </c>
      <c r="F27" s="62">
        <f>'2 уровень'!G105</f>
        <v>4068.4896000000003</v>
      </c>
      <c r="G27" s="62">
        <f>'2 уровень'!H105</f>
        <v>2712.32</v>
      </c>
      <c r="H27" s="62">
        <f>'2 уровень'!I105</f>
        <v>4733.8837600000006</v>
      </c>
      <c r="I27" s="62">
        <f>'2 уровень'!J105</f>
        <v>174.53264216611609</v>
      </c>
      <c r="J27" s="103"/>
      <c r="L27" s="727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</row>
    <row r="28" spans="1:185" ht="30" x14ac:dyDescent="0.25">
      <c r="A28" s="542" t="s">
        <v>112</v>
      </c>
      <c r="B28" s="539">
        <f>'2 уровень'!C106</f>
        <v>82327</v>
      </c>
      <c r="C28" s="539">
        <f>'2 уровень'!D106</f>
        <v>54886</v>
      </c>
      <c r="D28" s="539">
        <f>'2 уровень'!E106</f>
        <v>53382</v>
      </c>
      <c r="E28" s="540">
        <f>'2 уровень'!F106</f>
        <v>97.259774805961456</v>
      </c>
      <c r="F28" s="543">
        <f>'2 уровень'!G106</f>
        <v>173135.19366999998</v>
      </c>
      <c r="G28" s="543">
        <f>'2 уровень'!H106</f>
        <v>115423.45999999999</v>
      </c>
      <c r="H28" s="543">
        <f>'2 уровень'!I106</f>
        <v>111984.81287999998</v>
      </c>
      <c r="I28" s="543">
        <f>'2 уровень'!J106</f>
        <v>97.020842106102165</v>
      </c>
      <c r="J28" s="103"/>
      <c r="L28" s="727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</row>
    <row r="29" spans="1:185" ht="30" x14ac:dyDescent="0.25">
      <c r="A29" s="116" t="s">
        <v>108</v>
      </c>
      <c r="B29" s="49">
        <f>'2 уровень'!C107</f>
        <v>11370</v>
      </c>
      <c r="C29" s="49">
        <f>'2 уровень'!D107</f>
        <v>7580</v>
      </c>
      <c r="D29" s="49">
        <f>'2 уровень'!E107</f>
        <v>8096</v>
      </c>
      <c r="E29" s="180">
        <f>'2 уровень'!F107</f>
        <v>106.80738786279684</v>
      </c>
      <c r="F29" s="62">
        <f>'2 уровень'!G107</f>
        <v>24110.198700000004</v>
      </c>
      <c r="G29" s="62">
        <f>'2 уровень'!H107</f>
        <v>16073.47</v>
      </c>
      <c r="H29" s="62">
        <f>'2 уровень'!I107</f>
        <v>17058.110129999997</v>
      </c>
      <c r="I29" s="62">
        <f>'2 уровень'!J107</f>
        <v>106.12587157595715</v>
      </c>
      <c r="J29" s="103"/>
      <c r="L29" s="727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</row>
    <row r="30" spans="1:185" ht="60" x14ac:dyDescent="0.25">
      <c r="A30" s="116" t="s">
        <v>81</v>
      </c>
      <c r="B30" s="49">
        <f>'2 уровень'!C108</f>
        <v>46885</v>
      </c>
      <c r="C30" s="49">
        <f>'2 уровень'!D108</f>
        <v>31258</v>
      </c>
      <c r="D30" s="49">
        <f>'2 уровень'!E108</f>
        <v>30366</v>
      </c>
      <c r="E30" s="180">
        <f>'2 уровень'!F108</f>
        <v>97.146330539381921</v>
      </c>
      <c r="F30" s="62">
        <f>'2 уровень'!G108</f>
        <v>125430.58345000001</v>
      </c>
      <c r="G30" s="62">
        <f>'2 уровень'!H108</f>
        <v>83620.39</v>
      </c>
      <c r="H30" s="62">
        <f>'2 уровень'!I108</f>
        <v>78652.276370000007</v>
      </c>
      <c r="I30" s="62">
        <f>'2 уровень'!J108</f>
        <v>94.058729419941727</v>
      </c>
      <c r="J30" s="103"/>
      <c r="L30" s="727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</row>
    <row r="31" spans="1:185" ht="45" x14ac:dyDescent="0.25">
      <c r="A31" s="116" t="s">
        <v>109</v>
      </c>
      <c r="B31" s="49">
        <f>'2 уровень'!C109</f>
        <v>24072</v>
      </c>
      <c r="C31" s="49">
        <f>'2 уровень'!D109</f>
        <v>16048</v>
      </c>
      <c r="D31" s="49">
        <f>'2 уровень'!E109</f>
        <v>14920</v>
      </c>
      <c r="E31" s="180">
        <f>'2 уровень'!F109</f>
        <v>92.97108673978066</v>
      </c>
      <c r="F31" s="62">
        <f>'2 уровень'!G109</f>
        <v>23594.411520000001</v>
      </c>
      <c r="G31" s="62">
        <f>'2 уровень'!H109</f>
        <v>15729.599999999999</v>
      </c>
      <c r="H31" s="62">
        <f>'2 уровень'!I109</f>
        <v>16274.426380000001</v>
      </c>
      <c r="I31" s="62">
        <f>'2 уровень'!J109</f>
        <v>103.46370142915269</v>
      </c>
      <c r="J31" s="103"/>
      <c r="L31" s="727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</row>
    <row r="32" spans="1:185" ht="30" x14ac:dyDescent="0.25">
      <c r="A32" s="667" t="s">
        <v>123</v>
      </c>
      <c r="B32" s="544">
        <f>'2 уровень'!C110</f>
        <v>125831</v>
      </c>
      <c r="C32" s="544">
        <f>'2 уровень'!D110</f>
        <v>83886</v>
      </c>
      <c r="D32" s="544">
        <f>'2 уровень'!E110</f>
        <v>80399</v>
      </c>
      <c r="E32" s="545">
        <f>'2 уровень'!F110</f>
        <v>95.843168109100446</v>
      </c>
      <c r="F32" s="546">
        <f>'2 уровень'!G110</f>
        <v>121713.81286000001</v>
      </c>
      <c r="G32" s="546">
        <f>'2 уровень'!H110</f>
        <v>81142.539999999994</v>
      </c>
      <c r="H32" s="546">
        <f>'2 уровень'!I110</f>
        <v>77671.537920000002</v>
      </c>
      <c r="I32" s="546">
        <f>'2 уровень'!J110</f>
        <v>95.722339872525566</v>
      </c>
      <c r="J32" s="103"/>
      <c r="K32" s="103"/>
      <c r="L32" s="103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</row>
    <row r="33" spans="1:185" ht="30" x14ac:dyDescent="0.25">
      <c r="A33" s="667" t="s">
        <v>124</v>
      </c>
      <c r="B33" s="544">
        <f>'2 уровень'!C111</f>
        <v>20100</v>
      </c>
      <c r="C33" s="544">
        <f>'2 уровень'!D111</f>
        <v>13400</v>
      </c>
      <c r="D33" s="544">
        <f>'2 уровень'!E111</f>
        <v>15876</v>
      </c>
      <c r="E33" s="545">
        <f>'2 уровень'!F111</f>
        <v>118.47761194029852</v>
      </c>
      <c r="F33" s="546">
        <f>'2 уровень'!G111</f>
        <v>19561.721999999998</v>
      </c>
      <c r="G33" s="546">
        <f>'2 уровень'!H111</f>
        <v>13041.150000000001</v>
      </c>
      <c r="H33" s="546">
        <f>'2 уровень'!I111</f>
        <v>15264.70297</v>
      </c>
      <c r="I33" s="546">
        <f>'2 уровень'!J111</f>
        <v>0</v>
      </c>
      <c r="J33" s="103"/>
      <c r="K33" s="103"/>
      <c r="L33" s="103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/>
      <c r="CU33" s="45"/>
      <c r="CV33" s="45"/>
      <c r="CW33" s="45"/>
      <c r="CX33" s="45"/>
      <c r="CY33" s="45"/>
      <c r="CZ33" s="45"/>
      <c r="DA33" s="45"/>
      <c r="DB33" s="45"/>
      <c r="DC33" s="45"/>
      <c r="DD33" s="45"/>
      <c r="DE33" s="45"/>
      <c r="DF33" s="45"/>
      <c r="DG33" s="45"/>
      <c r="DH33" s="45"/>
      <c r="DI33" s="45"/>
      <c r="DJ33" s="45"/>
      <c r="DK33" s="45"/>
      <c r="DL33" s="45"/>
      <c r="DM33" s="45"/>
      <c r="DN33" s="45"/>
      <c r="DO33" s="45"/>
      <c r="DP33" s="45"/>
      <c r="DQ33" s="45"/>
      <c r="DR33" s="45"/>
      <c r="DS33" s="45"/>
      <c r="DT33" s="45"/>
      <c r="DU33" s="45"/>
      <c r="DV33" s="45"/>
      <c r="DW33" s="45"/>
      <c r="DX33" s="45"/>
      <c r="DY33" s="45"/>
      <c r="DZ33" s="45"/>
      <c r="EA33" s="45"/>
      <c r="EB33" s="45"/>
      <c r="EC33" s="45"/>
      <c r="ED33" s="45"/>
      <c r="EE33" s="45"/>
      <c r="EF33" s="45"/>
      <c r="EG33" s="45"/>
      <c r="EH33" s="45"/>
      <c r="EI33" s="45"/>
      <c r="EJ33" s="45"/>
      <c r="EK33" s="45"/>
      <c r="EL33" s="45"/>
      <c r="EM33" s="45"/>
      <c r="EN33" s="45"/>
      <c r="EO33" s="45"/>
      <c r="EP33" s="45"/>
      <c r="EQ33" s="45"/>
      <c r="ER33" s="45"/>
      <c r="ES33" s="45"/>
      <c r="ET33" s="45"/>
      <c r="EU33" s="45"/>
      <c r="EV33" s="45"/>
      <c r="EW33" s="45"/>
      <c r="EX33" s="45"/>
      <c r="EY33" s="45"/>
      <c r="EZ33" s="45"/>
      <c r="FA33" s="45"/>
      <c r="FB33" s="45"/>
      <c r="FC33" s="45"/>
      <c r="FD33" s="45"/>
      <c r="FE33" s="45"/>
      <c r="FF33" s="45"/>
      <c r="FG33" s="45"/>
      <c r="FH33" s="45"/>
      <c r="FI33" s="45"/>
      <c r="FJ33" s="45"/>
      <c r="FK33" s="45"/>
      <c r="FL33" s="45"/>
      <c r="FM33" s="45"/>
      <c r="FN33" s="45"/>
      <c r="FO33" s="45"/>
      <c r="FP33" s="45"/>
      <c r="FQ33" s="45"/>
      <c r="FR33" s="45"/>
      <c r="FS33" s="45"/>
      <c r="FT33" s="45"/>
      <c r="FU33" s="45"/>
      <c r="FV33" s="45"/>
      <c r="FW33" s="45"/>
      <c r="FX33" s="45"/>
      <c r="FY33" s="45"/>
      <c r="FZ33" s="45"/>
      <c r="GA33" s="45"/>
      <c r="GB33" s="45"/>
      <c r="GC33" s="45"/>
    </row>
    <row r="34" spans="1:185" ht="30.75" thickBot="1" x14ac:dyDescent="0.3">
      <c r="A34" s="667" t="s">
        <v>125</v>
      </c>
      <c r="B34" s="544">
        <f>'2 уровень'!C112</f>
        <v>13611</v>
      </c>
      <c r="C34" s="544">
        <f>'2 уровень'!D112</f>
        <v>9073</v>
      </c>
      <c r="D34" s="544">
        <f>'2 уровень'!E112</f>
        <v>15704</v>
      </c>
      <c r="E34" s="545">
        <f>'2 уровень'!F112</f>
        <v>173.08497740548881</v>
      </c>
      <c r="F34" s="546">
        <f>'2 уровень'!G112</f>
        <v>13246.49742</v>
      </c>
      <c r="G34" s="546">
        <f>'2 уровень'!H112</f>
        <v>8831</v>
      </c>
      <c r="H34" s="546">
        <f>'2 уровень'!I112</f>
        <v>15241.999690000001</v>
      </c>
      <c r="I34" s="546">
        <f>'2 уровень'!J112</f>
        <v>172.59653142339485</v>
      </c>
      <c r="J34" s="103"/>
      <c r="K34" s="103"/>
      <c r="L34" s="103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  <c r="CV34" s="45"/>
      <c r="CW34" s="45"/>
      <c r="CX34" s="45"/>
      <c r="CY34" s="45"/>
      <c r="CZ34" s="45"/>
      <c r="DA34" s="45"/>
      <c r="DB34" s="45"/>
      <c r="DC34" s="45"/>
      <c r="DD34" s="45"/>
      <c r="DE34" s="45"/>
      <c r="DF34" s="45"/>
      <c r="DG34" s="45"/>
      <c r="DH34" s="45"/>
      <c r="DI34" s="45"/>
      <c r="DJ34" s="45"/>
      <c r="DK34" s="45"/>
      <c r="DL34" s="45"/>
      <c r="DM34" s="45"/>
      <c r="DN34" s="45"/>
      <c r="DO34" s="45"/>
      <c r="DP34" s="45"/>
      <c r="DQ34" s="45"/>
      <c r="DR34" s="45"/>
      <c r="DS34" s="45"/>
      <c r="DT34" s="45"/>
      <c r="DU34" s="45"/>
      <c r="DV34" s="45"/>
      <c r="DW34" s="45"/>
      <c r="DX34" s="45"/>
      <c r="DY34" s="45"/>
      <c r="DZ34" s="45"/>
      <c r="EA34" s="45"/>
      <c r="EB34" s="45"/>
      <c r="EC34" s="45"/>
      <c r="ED34" s="45"/>
      <c r="EE34" s="45"/>
      <c r="EF34" s="45"/>
      <c r="EG34" s="45"/>
      <c r="EH34" s="45"/>
      <c r="EI34" s="45"/>
      <c r="EJ34" s="45"/>
      <c r="EK34" s="45"/>
      <c r="EL34" s="45"/>
      <c r="EM34" s="45"/>
      <c r="EN34" s="45"/>
      <c r="EO34" s="45"/>
      <c r="EP34" s="45"/>
      <c r="EQ34" s="45"/>
      <c r="ER34" s="45"/>
      <c r="ES34" s="45"/>
      <c r="ET34" s="45"/>
      <c r="EU34" s="45"/>
      <c r="EV34" s="45"/>
      <c r="EW34" s="45"/>
      <c r="EX34" s="45"/>
      <c r="EY34" s="45"/>
      <c r="EZ34" s="45"/>
      <c r="FA34" s="45"/>
      <c r="FB34" s="45"/>
      <c r="FC34" s="45"/>
      <c r="FD34" s="45"/>
      <c r="FE34" s="45"/>
      <c r="FF34" s="45"/>
      <c r="FG34" s="45"/>
      <c r="FH34" s="45"/>
      <c r="FI34" s="45"/>
      <c r="FJ34" s="45"/>
      <c r="FK34" s="45"/>
      <c r="FL34" s="45"/>
      <c r="FM34" s="45"/>
      <c r="FN34" s="45"/>
      <c r="FO34" s="45"/>
      <c r="FP34" s="45"/>
      <c r="FQ34" s="45"/>
      <c r="FR34" s="45"/>
      <c r="FS34" s="45"/>
      <c r="FT34" s="45"/>
      <c r="FU34" s="45"/>
      <c r="FV34" s="45"/>
      <c r="FW34" s="45"/>
      <c r="FX34" s="45"/>
      <c r="FY34" s="45"/>
      <c r="FZ34" s="45"/>
      <c r="GA34" s="45"/>
      <c r="GB34" s="45"/>
      <c r="GC34" s="45"/>
    </row>
    <row r="35" spans="1:185" ht="15.75" thickBot="1" x14ac:dyDescent="0.3">
      <c r="A35" s="548" t="s">
        <v>106</v>
      </c>
      <c r="B35" s="549">
        <f>'2 уровень'!C113</f>
        <v>0</v>
      </c>
      <c r="C35" s="549">
        <f>'2 уровень'!D113</f>
        <v>0</v>
      </c>
      <c r="D35" s="549">
        <f>'2 уровень'!E113</f>
        <v>0</v>
      </c>
      <c r="E35" s="550">
        <f>'2 уровень'!F113</f>
        <v>0</v>
      </c>
      <c r="F35" s="551">
        <f>'2 уровень'!G113</f>
        <v>396905.08584999997</v>
      </c>
      <c r="G35" s="551">
        <f>'2 уровень'!H113</f>
        <v>264603.39999999997</v>
      </c>
      <c r="H35" s="551">
        <f>'2 уровень'!I113</f>
        <v>264924.40104999999</v>
      </c>
      <c r="I35" s="551">
        <f>'2 уровень'!J113</f>
        <v>100.1213140307343</v>
      </c>
      <c r="J35" s="103"/>
      <c r="L35" s="727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5"/>
      <c r="CH35" s="45"/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  <c r="CV35" s="45"/>
      <c r="CW35" s="45"/>
      <c r="CX35" s="45"/>
      <c r="CY35" s="45"/>
      <c r="CZ35" s="45"/>
      <c r="DA35" s="45"/>
      <c r="DB35" s="45"/>
      <c r="DC35" s="45"/>
      <c r="DD35" s="45"/>
      <c r="DE35" s="45"/>
      <c r="DF35" s="45"/>
      <c r="DG35" s="45"/>
      <c r="DH35" s="45"/>
      <c r="DI35" s="45"/>
      <c r="DJ35" s="45"/>
      <c r="DK35" s="45"/>
      <c r="DL35" s="45"/>
      <c r="DM35" s="45"/>
      <c r="DN35" s="45"/>
      <c r="DO35" s="45"/>
      <c r="DP35" s="45"/>
      <c r="DQ35" s="45"/>
      <c r="DR35" s="45"/>
      <c r="DS35" s="45"/>
      <c r="DT35" s="45"/>
      <c r="DU35" s="45"/>
      <c r="DV35" s="45"/>
      <c r="DW35" s="45"/>
      <c r="DX35" s="45"/>
      <c r="DY35" s="45"/>
      <c r="DZ35" s="45"/>
      <c r="EA35" s="45"/>
      <c r="EB35" s="45"/>
      <c r="EC35" s="45"/>
      <c r="ED35" s="45"/>
      <c r="EE35" s="45"/>
      <c r="EF35" s="45"/>
      <c r="EG35" s="45"/>
      <c r="EH35" s="45"/>
      <c r="EI35" s="45"/>
      <c r="EJ35" s="45"/>
      <c r="EK35" s="45"/>
      <c r="EL35" s="45"/>
      <c r="EM35" s="45"/>
      <c r="EN35" s="45"/>
      <c r="EO35" s="45"/>
      <c r="EP35" s="45"/>
      <c r="EQ35" s="45"/>
      <c r="ER35" s="45"/>
      <c r="ES35" s="45"/>
      <c r="ET35" s="45"/>
      <c r="EU35" s="45"/>
      <c r="EV35" s="45"/>
      <c r="EW35" s="45"/>
      <c r="EX35" s="45"/>
      <c r="EY35" s="45"/>
      <c r="EZ35" s="45"/>
      <c r="FA35" s="45"/>
      <c r="FB35" s="45"/>
      <c r="FC35" s="45"/>
      <c r="FD35" s="45"/>
      <c r="FE35" s="45"/>
      <c r="FF35" s="45"/>
      <c r="FG35" s="45"/>
      <c r="FH35" s="45"/>
      <c r="FI35" s="45"/>
      <c r="FJ35" s="45"/>
      <c r="FK35" s="45"/>
      <c r="FL35" s="45"/>
      <c r="FM35" s="45"/>
      <c r="FN35" s="45"/>
      <c r="FO35" s="45"/>
      <c r="FP35" s="45"/>
      <c r="FQ35" s="45"/>
      <c r="FR35" s="45"/>
      <c r="FS35" s="45"/>
      <c r="FT35" s="45"/>
      <c r="FU35" s="45"/>
      <c r="FV35" s="45"/>
      <c r="FW35" s="45"/>
      <c r="FX35" s="45"/>
      <c r="FY35" s="45"/>
      <c r="FZ35" s="45"/>
      <c r="GA35" s="45"/>
      <c r="GB35" s="45"/>
      <c r="GC35" s="45"/>
    </row>
    <row r="36" spans="1:185" ht="15" customHeight="1" x14ac:dyDescent="0.25">
      <c r="A36" s="41" t="s">
        <v>11</v>
      </c>
      <c r="B36" s="63"/>
      <c r="C36" s="63"/>
      <c r="D36" s="63"/>
      <c r="E36" s="182"/>
      <c r="F36" s="64"/>
      <c r="G36" s="64"/>
      <c r="H36" s="64"/>
      <c r="I36" s="64"/>
      <c r="J36" s="103"/>
      <c r="L36" s="727"/>
    </row>
    <row r="37" spans="1:185" ht="30" x14ac:dyDescent="0.25">
      <c r="A37" s="542" t="s">
        <v>120</v>
      </c>
      <c r="B37" s="539">
        <f>'2 уровень'!C131</f>
        <v>9871</v>
      </c>
      <c r="C37" s="539">
        <f>'2 уровень'!D131</f>
        <v>6580</v>
      </c>
      <c r="D37" s="539">
        <f>'2 уровень'!E131</f>
        <v>6367</v>
      </c>
      <c r="E37" s="540">
        <f>'2 уровень'!F131</f>
        <v>96.762917933130694</v>
      </c>
      <c r="F37" s="543">
        <f>'2 уровень'!G131</f>
        <v>16458.894070000002</v>
      </c>
      <c r="G37" s="543">
        <f>'2 уровень'!H131</f>
        <v>10972.59</v>
      </c>
      <c r="H37" s="543">
        <f>'2 уровень'!I131</f>
        <v>10935.5708</v>
      </c>
      <c r="I37" s="543">
        <f>'2 уровень'!J131</f>
        <v>99.662621131382835</v>
      </c>
      <c r="J37" s="103"/>
      <c r="L37" s="727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  <c r="CI37" s="45"/>
      <c r="CJ37" s="45"/>
      <c r="CK37" s="45"/>
      <c r="CL37" s="45"/>
      <c r="CM37" s="45"/>
      <c r="CN37" s="45"/>
      <c r="CO37" s="45"/>
      <c r="CP37" s="45"/>
      <c r="CQ37" s="45"/>
      <c r="CR37" s="45"/>
      <c r="CS37" s="45"/>
      <c r="CT37" s="45"/>
      <c r="CU37" s="45"/>
      <c r="CV37" s="45"/>
      <c r="CW37" s="45"/>
      <c r="CX37" s="45"/>
      <c r="CY37" s="45"/>
      <c r="CZ37" s="45"/>
      <c r="DA37" s="45"/>
      <c r="DB37" s="45"/>
      <c r="DC37" s="45"/>
      <c r="DD37" s="45"/>
      <c r="DE37" s="45"/>
      <c r="DF37" s="45"/>
      <c r="DG37" s="45"/>
      <c r="DH37" s="45"/>
      <c r="DI37" s="45"/>
      <c r="DJ37" s="45"/>
      <c r="DK37" s="45"/>
      <c r="DL37" s="45"/>
      <c r="DM37" s="45"/>
      <c r="DN37" s="45"/>
      <c r="DO37" s="45"/>
      <c r="DP37" s="45"/>
      <c r="DQ37" s="45"/>
      <c r="DR37" s="45"/>
      <c r="DS37" s="45"/>
      <c r="DT37" s="45"/>
      <c r="DU37" s="45"/>
      <c r="DV37" s="45"/>
      <c r="DW37" s="45"/>
      <c r="DX37" s="45"/>
      <c r="DY37" s="45"/>
      <c r="DZ37" s="45"/>
      <c r="EA37" s="45"/>
      <c r="EB37" s="45"/>
      <c r="EC37" s="45"/>
      <c r="ED37" s="45"/>
      <c r="EE37" s="45"/>
      <c r="EF37" s="45"/>
      <c r="EG37" s="45"/>
      <c r="EH37" s="45"/>
      <c r="EI37" s="45"/>
      <c r="EJ37" s="45"/>
      <c r="EK37" s="45"/>
      <c r="EL37" s="45"/>
      <c r="EM37" s="45"/>
      <c r="EN37" s="45"/>
      <c r="EO37" s="45"/>
      <c r="EP37" s="45"/>
      <c r="EQ37" s="45"/>
      <c r="ER37" s="45"/>
      <c r="ES37" s="45"/>
      <c r="ET37" s="45"/>
      <c r="EU37" s="45"/>
      <c r="EV37" s="45"/>
      <c r="EW37" s="45"/>
      <c r="EX37" s="45"/>
      <c r="EY37" s="45"/>
      <c r="EZ37" s="45"/>
      <c r="FA37" s="45"/>
      <c r="FB37" s="45"/>
      <c r="FC37" s="45"/>
      <c r="FD37" s="45"/>
      <c r="FE37" s="45"/>
      <c r="FF37" s="45"/>
      <c r="FG37" s="45"/>
      <c r="FH37" s="45"/>
      <c r="FI37" s="45"/>
      <c r="FJ37" s="45"/>
      <c r="FK37" s="45"/>
      <c r="FL37" s="45"/>
      <c r="FM37" s="45"/>
      <c r="FN37" s="45"/>
      <c r="FO37" s="45"/>
      <c r="FP37" s="45"/>
      <c r="FQ37" s="45"/>
      <c r="FR37" s="45"/>
      <c r="FS37" s="45"/>
      <c r="FT37" s="45"/>
      <c r="FU37" s="45"/>
      <c r="FV37" s="45"/>
      <c r="FW37" s="45"/>
      <c r="FX37" s="45"/>
      <c r="FY37" s="45"/>
      <c r="FZ37" s="45"/>
      <c r="GA37" s="45"/>
      <c r="GB37" s="45"/>
      <c r="GC37" s="45"/>
    </row>
    <row r="38" spans="1:185" ht="30" x14ac:dyDescent="0.25">
      <c r="A38" s="116" t="s">
        <v>79</v>
      </c>
      <c r="B38" s="49">
        <f>'2 уровень'!C132</f>
        <v>7286</v>
      </c>
      <c r="C38" s="49">
        <f>'2 уровень'!D132</f>
        <v>4857</v>
      </c>
      <c r="D38" s="49">
        <f>'2 уровень'!E132</f>
        <v>5249</v>
      </c>
      <c r="E38" s="180">
        <f>'2 уровень'!F132</f>
        <v>108.07082561251802</v>
      </c>
      <c r="F38" s="62">
        <f>'2 уровень'!G132</f>
        <v>9954.481600000001</v>
      </c>
      <c r="G38" s="62">
        <f>'2 уровень'!H132</f>
        <v>6636.32</v>
      </c>
      <c r="H38" s="62">
        <f>'2 уровень'!I132</f>
        <v>7326.768869999999</v>
      </c>
      <c r="I38" s="62">
        <f>'2 уровень'!J132</f>
        <v>110.40409247896423</v>
      </c>
      <c r="J38" s="103"/>
      <c r="L38" s="727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  <c r="BM38" s="45"/>
      <c r="BN38" s="45"/>
      <c r="BO38" s="45"/>
      <c r="BP38" s="45"/>
      <c r="BQ38" s="45"/>
      <c r="BR38" s="45"/>
      <c r="BS38" s="45"/>
      <c r="BT38" s="45"/>
      <c r="BU38" s="45"/>
      <c r="BV38" s="45"/>
      <c r="BW38" s="45"/>
      <c r="BX38" s="45"/>
      <c r="BY38" s="45"/>
      <c r="BZ38" s="45"/>
      <c r="CA38" s="45"/>
      <c r="CB38" s="45"/>
      <c r="CC38" s="45"/>
      <c r="CD38" s="45"/>
      <c r="CE38" s="45"/>
      <c r="CF38" s="45"/>
      <c r="CG38" s="45"/>
      <c r="CH38" s="45"/>
      <c r="CI38" s="45"/>
      <c r="CJ38" s="45"/>
      <c r="CK38" s="45"/>
      <c r="CL38" s="45"/>
      <c r="CM38" s="45"/>
      <c r="CN38" s="45"/>
      <c r="CO38" s="45"/>
      <c r="CP38" s="45"/>
      <c r="CQ38" s="45"/>
      <c r="CR38" s="45"/>
      <c r="CS38" s="45"/>
      <c r="CT38" s="45"/>
      <c r="CU38" s="45"/>
      <c r="CV38" s="45"/>
      <c r="CW38" s="45"/>
      <c r="CX38" s="45"/>
      <c r="CY38" s="45"/>
      <c r="CZ38" s="45"/>
      <c r="DA38" s="45"/>
      <c r="DB38" s="45"/>
      <c r="DC38" s="45"/>
      <c r="DD38" s="45"/>
      <c r="DE38" s="45"/>
      <c r="DF38" s="45"/>
      <c r="DG38" s="45"/>
      <c r="DH38" s="45"/>
      <c r="DI38" s="45"/>
      <c r="DJ38" s="45"/>
      <c r="DK38" s="45"/>
      <c r="DL38" s="45"/>
      <c r="DM38" s="45"/>
      <c r="DN38" s="45"/>
      <c r="DO38" s="45"/>
      <c r="DP38" s="45"/>
      <c r="DQ38" s="45"/>
      <c r="DR38" s="45"/>
      <c r="DS38" s="45"/>
      <c r="DT38" s="45"/>
      <c r="DU38" s="45"/>
      <c r="DV38" s="45"/>
      <c r="DW38" s="45"/>
      <c r="DX38" s="45"/>
      <c r="DY38" s="45"/>
      <c r="DZ38" s="45"/>
      <c r="EA38" s="45"/>
      <c r="EB38" s="45"/>
      <c r="EC38" s="45"/>
      <c r="ED38" s="45"/>
      <c r="EE38" s="45"/>
      <c r="EF38" s="45"/>
      <c r="EG38" s="45"/>
      <c r="EH38" s="45"/>
      <c r="EI38" s="45"/>
      <c r="EJ38" s="45"/>
      <c r="EK38" s="45"/>
      <c r="EL38" s="45"/>
      <c r="EM38" s="45"/>
      <c r="EN38" s="45"/>
      <c r="EO38" s="45"/>
      <c r="EP38" s="45"/>
      <c r="EQ38" s="45"/>
      <c r="ER38" s="45"/>
      <c r="ES38" s="45"/>
      <c r="ET38" s="45"/>
      <c r="EU38" s="45"/>
      <c r="EV38" s="45"/>
      <c r="EW38" s="45"/>
      <c r="EX38" s="45"/>
      <c r="EY38" s="45"/>
      <c r="EZ38" s="45"/>
      <c r="FA38" s="45"/>
      <c r="FB38" s="45"/>
      <c r="FC38" s="45"/>
      <c r="FD38" s="45"/>
      <c r="FE38" s="45"/>
      <c r="FF38" s="45"/>
      <c r="FG38" s="45"/>
      <c r="FH38" s="45"/>
      <c r="FI38" s="45"/>
      <c r="FJ38" s="45"/>
      <c r="FK38" s="45"/>
      <c r="FL38" s="45"/>
      <c r="FM38" s="45"/>
      <c r="FN38" s="45"/>
      <c r="FO38" s="45"/>
      <c r="FP38" s="45"/>
      <c r="FQ38" s="45"/>
      <c r="FR38" s="45"/>
      <c r="FS38" s="45"/>
      <c r="FT38" s="45"/>
      <c r="FU38" s="45"/>
      <c r="FV38" s="45"/>
      <c r="FW38" s="45"/>
      <c r="FX38" s="45"/>
      <c r="FY38" s="45"/>
      <c r="FZ38" s="45"/>
      <c r="GA38" s="45"/>
      <c r="GB38" s="45"/>
      <c r="GC38" s="45"/>
    </row>
    <row r="39" spans="1:185" ht="30" x14ac:dyDescent="0.25">
      <c r="A39" s="116" t="s">
        <v>80</v>
      </c>
      <c r="B39" s="49">
        <f>'2 уровень'!C133</f>
        <v>2186</v>
      </c>
      <c r="C39" s="49">
        <f>'2 уровень'!D133</f>
        <v>1457</v>
      </c>
      <c r="D39" s="49">
        <f>'2 уровень'!E133</f>
        <v>760</v>
      </c>
      <c r="E39" s="180">
        <f>'2 уровень'!F133</f>
        <v>52.161976664378862</v>
      </c>
      <c r="F39" s="62">
        <f>'2 уровень'!G133</f>
        <v>3886.14255</v>
      </c>
      <c r="G39" s="62">
        <f>'2 уровень'!H133</f>
        <v>2590.7600000000002</v>
      </c>
      <c r="H39" s="62">
        <f>'2 уровень'!I133</f>
        <v>1318.6360099999999</v>
      </c>
      <c r="I39" s="62">
        <f>'2 уровень'!J133</f>
        <v>50.897652040327927</v>
      </c>
      <c r="J39" s="103"/>
      <c r="L39" s="727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5"/>
      <c r="CA39" s="45"/>
      <c r="CB39" s="45"/>
      <c r="CC39" s="45"/>
      <c r="CD39" s="45"/>
      <c r="CE39" s="45"/>
      <c r="CF39" s="45"/>
      <c r="CG39" s="45"/>
      <c r="CH39" s="45"/>
      <c r="CI39" s="45"/>
      <c r="CJ39" s="45"/>
      <c r="CK39" s="45"/>
      <c r="CL39" s="45"/>
      <c r="CM39" s="45"/>
      <c r="CN39" s="45"/>
      <c r="CO39" s="45"/>
      <c r="CP39" s="45"/>
      <c r="CQ39" s="45"/>
      <c r="CR39" s="45"/>
      <c r="CS39" s="45"/>
      <c r="CT39" s="45"/>
      <c r="CU39" s="45"/>
      <c r="CV39" s="45"/>
      <c r="CW39" s="45"/>
      <c r="CX39" s="45"/>
      <c r="CY39" s="45"/>
      <c r="CZ39" s="45"/>
      <c r="DA39" s="45"/>
      <c r="DB39" s="45"/>
      <c r="DC39" s="45"/>
      <c r="DD39" s="45"/>
      <c r="DE39" s="45"/>
      <c r="DF39" s="45"/>
      <c r="DG39" s="45"/>
      <c r="DH39" s="45"/>
      <c r="DI39" s="45"/>
      <c r="DJ39" s="45"/>
      <c r="DK39" s="45"/>
      <c r="DL39" s="45"/>
      <c r="DM39" s="45"/>
      <c r="DN39" s="45"/>
      <c r="DO39" s="45"/>
      <c r="DP39" s="45"/>
      <c r="DQ39" s="45"/>
      <c r="DR39" s="45"/>
      <c r="DS39" s="45"/>
      <c r="DT39" s="45"/>
      <c r="DU39" s="45"/>
      <c r="DV39" s="45"/>
      <c r="DW39" s="45"/>
      <c r="DX39" s="45"/>
      <c r="DY39" s="45"/>
      <c r="DZ39" s="45"/>
      <c r="EA39" s="45"/>
      <c r="EB39" s="45"/>
      <c r="EC39" s="45"/>
      <c r="ED39" s="45"/>
      <c r="EE39" s="45"/>
      <c r="EF39" s="45"/>
      <c r="EG39" s="45"/>
      <c r="EH39" s="45"/>
      <c r="EI39" s="45"/>
      <c r="EJ39" s="45"/>
      <c r="EK39" s="45"/>
      <c r="EL39" s="45"/>
      <c r="EM39" s="45"/>
      <c r="EN39" s="45"/>
      <c r="EO39" s="45"/>
      <c r="EP39" s="45"/>
      <c r="EQ39" s="45"/>
      <c r="ER39" s="45"/>
      <c r="ES39" s="45"/>
      <c r="ET39" s="45"/>
      <c r="EU39" s="45"/>
      <c r="EV39" s="45"/>
      <c r="EW39" s="45"/>
      <c r="EX39" s="45"/>
      <c r="EY39" s="45"/>
      <c r="EZ39" s="45"/>
      <c r="FA39" s="45"/>
      <c r="FB39" s="45"/>
      <c r="FC39" s="45"/>
      <c r="FD39" s="45"/>
      <c r="FE39" s="45"/>
      <c r="FF39" s="45"/>
      <c r="FG39" s="45"/>
      <c r="FH39" s="45"/>
      <c r="FI39" s="45"/>
      <c r="FJ39" s="45"/>
      <c r="FK39" s="45"/>
      <c r="FL39" s="45"/>
      <c r="FM39" s="45"/>
      <c r="FN39" s="45"/>
      <c r="FO39" s="45"/>
      <c r="FP39" s="45"/>
      <c r="FQ39" s="45"/>
      <c r="FR39" s="45"/>
      <c r="FS39" s="45"/>
      <c r="FT39" s="45"/>
      <c r="FU39" s="45"/>
      <c r="FV39" s="45"/>
      <c r="FW39" s="45"/>
      <c r="FX39" s="45"/>
      <c r="FY39" s="45"/>
      <c r="FZ39" s="45"/>
      <c r="GA39" s="45"/>
      <c r="GB39" s="45"/>
      <c r="GC39" s="45"/>
    </row>
    <row r="40" spans="1:185" ht="45" x14ac:dyDescent="0.25">
      <c r="A40" s="116" t="s">
        <v>99</v>
      </c>
      <c r="B40" s="49">
        <f>'2 уровень'!C134</f>
        <v>49</v>
      </c>
      <c r="C40" s="49">
        <f>'2 уровень'!D134</f>
        <v>33</v>
      </c>
      <c r="D40" s="49">
        <f>'2 уровень'!E134</f>
        <v>43</v>
      </c>
      <c r="E40" s="180">
        <f>'2 уровень'!F134</f>
        <v>130.30303030303031</v>
      </c>
      <c r="F40" s="62">
        <f>'2 уровень'!G134</f>
        <v>321.54192</v>
      </c>
      <c r="G40" s="62">
        <f>'2 уровень'!H134</f>
        <v>214.36</v>
      </c>
      <c r="H40" s="62">
        <f>'2 уровень'!I134</f>
        <v>255.92112</v>
      </c>
      <c r="I40" s="62">
        <f>'2 уровень'!J134</f>
        <v>119.38846799776077</v>
      </c>
      <c r="J40" s="103"/>
      <c r="L40" s="727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5"/>
      <c r="BM40" s="45"/>
      <c r="BN40" s="45"/>
      <c r="BO40" s="45"/>
      <c r="BP40" s="45"/>
      <c r="BQ40" s="45"/>
      <c r="BR40" s="45"/>
      <c r="BS40" s="45"/>
      <c r="BT40" s="45"/>
      <c r="BU40" s="45"/>
      <c r="BV40" s="45"/>
      <c r="BW40" s="45"/>
      <c r="BX40" s="45"/>
      <c r="BY40" s="45"/>
      <c r="BZ40" s="45"/>
      <c r="CA40" s="45"/>
      <c r="CB40" s="45"/>
      <c r="CC40" s="45"/>
      <c r="CD40" s="45"/>
      <c r="CE40" s="45"/>
      <c r="CF40" s="45"/>
      <c r="CG40" s="45"/>
      <c r="CH40" s="45"/>
      <c r="CI40" s="45"/>
      <c r="CJ40" s="45"/>
      <c r="CK40" s="45"/>
      <c r="CL40" s="45"/>
      <c r="CM40" s="45"/>
      <c r="CN40" s="45"/>
      <c r="CO40" s="45"/>
      <c r="CP40" s="45"/>
      <c r="CQ40" s="45"/>
      <c r="CR40" s="45"/>
      <c r="CS40" s="45"/>
      <c r="CT40" s="45"/>
      <c r="CU40" s="45"/>
      <c r="CV40" s="45"/>
      <c r="CW40" s="45"/>
      <c r="CX40" s="45"/>
      <c r="CY40" s="45"/>
      <c r="CZ40" s="45"/>
      <c r="DA40" s="45"/>
      <c r="DB40" s="45"/>
      <c r="DC40" s="45"/>
      <c r="DD40" s="45"/>
      <c r="DE40" s="45"/>
      <c r="DF40" s="45"/>
      <c r="DG40" s="45"/>
      <c r="DH40" s="45"/>
      <c r="DI40" s="45"/>
      <c r="DJ40" s="45"/>
      <c r="DK40" s="45"/>
      <c r="DL40" s="45"/>
      <c r="DM40" s="45"/>
      <c r="DN40" s="45"/>
      <c r="DO40" s="45"/>
      <c r="DP40" s="45"/>
      <c r="DQ40" s="45"/>
      <c r="DR40" s="45"/>
      <c r="DS40" s="45"/>
      <c r="DT40" s="45"/>
      <c r="DU40" s="45"/>
      <c r="DV40" s="45"/>
      <c r="DW40" s="45"/>
      <c r="DX40" s="45"/>
      <c r="DY40" s="45"/>
      <c r="DZ40" s="45"/>
      <c r="EA40" s="45"/>
      <c r="EB40" s="45"/>
      <c r="EC40" s="45"/>
      <c r="ED40" s="45"/>
      <c r="EE40" s="45"/>
      <c r="EF40" s="45"/>
      <c r="EG40" s="45"/>
      <c r="EH40" s="45"/>
      <c r="EI40" s="45"/>
      <c r="EJ40" s="45"/>
      <c r="EK40" s="45"/>
      <c r="EL40" s="45"/>
      <c r="EM40" s="45"/>
      <c r="EN40" s="45"/>
      <c r="EO40" s="45"/>
      <c r="EP40" s="45"/>
      <c r="EQ40" s="45"/>
      <c r="ER40" s="45"/>
      <c r="ES40" s="45"/>
      <c r="ET40" s="45"/>
      <c r="EU40" s="45"/>
      <c r="EV40" s="45"/>
      <c r="EW40" s="45"/>
      <c r="EX40" s="45"/>
      <c r="EY40" s="45"/>
      <c r="EZ40" s="45"/>
      <c r="FA40" s="45"/>
      <c r="FB40" s="45"/>
      <c r="FC40" s="45"/>
      <c r="FD40" s="45"/>
      <c r="FE40" s="45"/>
      <c r="FF40" s="45"/>
      <c r="FG40" s="45"/>
      <c r="FH40" s="45"/>
      <c r="FI40" s="45"/>
      <c r="FJ40" s="45"/>
      <c r="FK40" s="45"/>
      <c r="FL40" s="45"/>
      <c r="FM40" s="45"/>
      <c r="FN40" s="45"/>
      <c r="FO40" s="45"/>
      <c r="FP40" s="45"/>
      <c r="FQ40" s="45"/>
      <c r="FR40" s="45"/>
      <c r="FS40" s="45"/>
      <c r="FT40" s="45"/>
      <c r="FU40" s="45"/>
      <c r="FV40" s="45"/>
      <c r="FW40" s="45"/>
      <c r="FX40" s="45"/>
      <c r="FY40" s="45"/>
      <c r="FZ40" s="45"/>
      <c r="GA40" s="45"/>
      <c r="GB40" s="45"/>
      <c r="GC40" s="45"/>
    </row>
    <row r="41" spans="1:185" ht="30" x14ac:dyDescent="0.25">
      <c r="A41" s="116" t="s">
        <v>100</v>
      </c>
      <c r="B41" s="49">
        <f>'2 уровень'!C135</f>
        <v>350</v>
      </c>
      <c r="C41" s="49">
        <f>'2 уровень'!D135</f>
        <v>233</v>
      </c>
      <c r="D41" s="49">
        <f>'2 уровень'!E135</f>
        <v>315</v>
      </c>
      <c r="E41" s="180">
        <f>'2 уровень'!F135</f>
        <v>0</v>
      </c>
      <c r="F41" s="62">
        <f>'2 уровень'!G135</f>
        <v>2296.7280000000001</v>
      </c>
      <c r="G41" s="62">
        <f>'2 уровень'!H135</f>
        <v>1531.15</v>
      </c>
      <c r="H41" s="62">
        <f>'2 уровень'!I135</f>
        <v>2034.2447999999999</v>
      </c>
      <c r="I41" s="62">
        <f>'2 уровень'!J135</f>
        <v>132.85731639617279</v>
      </c>
      <c r="J41" s="103"/>
      <c r="L41" s="727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5"/>
      <c r="BM41" s="45"/>
      <c r="BN41" s="45"/>
      <c r="BO41" s="45"/>
      <c r="BP41" s="45"/>
      <c r="BQ41" s="45"/>
      <c r="BR41" s="45"/>
      <c r="BS41" s="45"/>
      <c r="BT41" s="45"/>
      <c r="BU41" s="45"/>
      <c r="BV41" s="45"/>
      <c r="BW41" s="45"/>
      <c r="BX41" s="45"/>
      <c r="BY41" s="45"/>
      <c r="BZ41" s="45"/>
      <c r="CA41" s="45"/>
      <c r="CB41" s="45"/>
      <c r="CC41" s="45"/>
      <c r="CD41" s="45"/>
      <c r="CE41" s="45"/>
      <c r="CF41" s="45"/>
      <c r="CG41" s="45"/>
      <c r="CH41" s="45"/>
      <c r="CI41" s="45"/>
      <c r="CJ41" s="45"/>
      <c r="CK41" s="45"/>
      <c r="CL41" s="45"/>
      <c r="CM41" s="45"/>
      <c r="CN41" s="45"/>
      <c r="CO41" s="45"/>
      <c r="CP41" s="45"/>
      <c r="CQ41" s="45"/>
      <c r="CR41" s="45"/>
      <c r="CS41" s="45"/>
      <c r="CT41" s="45"/>
      <c r="CU41" s="45"/>
      <c r="CV41" s="45"/>
      <c r="CW41" s="45"/>
      <c r="CX41" s="45"/>
      <c r="CY41" s="45"/>
      <c r="CZ41" s="45"/>
      <c r="DA41" s="45"/>
      <c r="DB41" s="45"/>
      <c r="DC41" s="45"/>
      <c r="DD41" s="45"/>
      <c r="DE41" s="45"/>
      <c r="DF41" s="45"/>
      <c r="DG41" s="45"/>
      <c r="DH41" s="45"/>
      <c r="DI41" s="45"/>
      <c r="DJ41" s="45"/>
      <c r="DK41" s="45"/>
      <c r="DL41" s="45"/>
      <c r="DM41" s="45"/>
      <c r="DN41" s="45"/>
      <c r="DO41" s="45"/>
      <c r="DP41" s="45"/>
      <c r="DQ41" s="45"/>
      <c r="DR41" s="45"/>
      <c r="DS41" s="45"/>
      <c r="DT41" s="45"/>
      <c r="DU41" s="45"/>
      <c r="DV41" s="45"/>
      <c r="DW41" s="45"/>
      <c r="DX41" s="45"/>
      <c r="DY41" s="45"/>
      <c r="DZ41" s="45"/>
      <c r="EA41" s="45"/>
      <c r="EB41" s="45"/>
      <c r="EC41" s="45"/>
      <c r="ED41" s="45"/>
      <c r="EE41" s="45"/>
      <c r="EF41" s="45"/>
      <c r="EG41" s="45"/>
      <c r="EH41" s="45"/>
      <c r="EI41" s="45"/>
      <c r="EJ41" s="45"/>
      <c r="EK41" s="45"/>
      <c r="EL41" s="45"/>
      <c r="EM41" s="45"/>
      <c r="EN41" s="45"/>
      <c r="EO41" s="45"/>
      <c r="EP41" s="45"/>
      <c r="EQ41" s="45"/>
      <c r="ER41" s="45"/>
      <c r="ES41" s="45"/>
      <c r="ET41" s="45"/>
      <c r="EU41" s="45"/>
      <c r="EV41" s="45"/>
      <c r="EW41" s="45"/>
      <c r="EX41" s="45"/>
      <c r="EY41" s="45"/>
      <c r="EZ41" s="45"/>
      <c r="FA41" s="45"/>
      <c r="FB41" s="45"/>
      <c r="FC41" s="45"/>
      <c r="FD41" s="45"/>
      <c r="FE41" s="45"/>
      <c r="FF41" s="45"/>
      <c r="FG41" s="45"/>
      <c r="FH41" s="45"/>
      <c r="FI41" s="45"/>
      <c r="FJ41" s="45"/>
      <c r="FK41" s="45"/>
      <c r="FL41" s="45"/>
      <c r="FM41" s="45"/>
      <c r="FN41" s="45"/>
      <c r="FO41" s="45"/>
      <c r="FP41" s="45"/>
      <c r="FQ41" s="45"/>
      <c r="FR41" s="45"/>
      <c r="FS41" s="45"/>
      <c r="FT41" s="45"/>
      <c r="FU41" s="45"/>
      <c r="FV41" s="45"/>
      <c r="FW41" s="45"/>
      <c r="FX41" s="45"/>
      <c r="FY41" s="45"/>
      <c r="FZ41" s="45"/>
      <c r="GA41" s="45"/>
      <c r="GB41" s="45"/>
      <c r="GC41" s="45"/>
    </row>
    <row r="42" spans="1:185" ht="30" x14ac:dyDescent="0.25">
      <c r="A42" s="542" t="s">
        <v>112</v>
      </c>
      <c r="B42" s="539">
        <f>'2 уровень'!C136</f>
        <v>16426</v>
      </c>
      <c r="C42" s="539">
        <f>'2 уровень'!D136</f>
        <v>10951</v>
      </c>
      <c r="D42" s="539">
        <f>'2 уровень'!E136</f>
        <v>10756</v>
      </c>
      <c r="E42" s="540">
        <f>'2 уровень'!F136</f>
        <v>98.219340699479503</v>
      </c>
      <c r="F42" s="543">
        <f>'2 уровень'!G136</f>
        <v>36959.141160000006</v>
      </c>
      <c r="G42" s="543">
        <f>'2 уровень'!H136</f>
        <v>24639.420000000002</v>
      </c>
      <c r="H42" s="543">
        <f>'2 уровень'!I136</f>
        <v>22686.508049999997</v>
      </c>
      <c r="I42" s="543">
        <f>'2 уровень'!J136</f>
        <v>92.074034413147686</v>
      </c>
      <c r="J42" s="103"/>
      <c r="L42" s="727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5"/>
      <c r="BM42" s="45"/>
      <c r="BN42" s="45"/>
      <c r="BO42" s="45"/>
      <c r="BP42" s="45"/>
      <c r="BQ42" s="45"/>
      <c r="BR42" s="45"/>
      <c r="BS42" s="45"/>
      <c r="BT42" s="45"/>
      <c r="BU42" s="45"/>
      <c r="BV42" s="45"/>
      <c r="BW42" s="45"/>
      <c r="BX42" s="45"/>
      <c r="BY42" s="45"/>
      <c r="BZ42" s="45"/>
      <c r="CA42" s="45"/>
      <c r="CB42" s="45"/>
      <c r="CC42" s="45"/>
      <c r="CD42" s="45"/>
      <c r="CE42" s="45"/>
      <c r="CF42" s="45"/>
      <c r="CG42" s="45"/>
      <c r="CH42" s="45"/>
      <c r="CI42" s="45"/>
      <c r="CJ42" s="45"/>
      <c r="CK42" s="45"/>
      <c r="CL42" s="45"/>
      <c r="CM42" s="45"/>
      <c r="CN42" s="45"/>
      <c r="CO42" s="45"/>
      <c r="CP42" s="45"/>
      <c r="CQ42" s="45"/>
      <c r="CR42" s="45"/>
      <c r="CS42" s="45"/>
      <c r="CT42" s="45"/>
      <c r="CU42" s="45"/>
      <c r="CV42" s="45"/>
      <c r="CW42" s="45"/>
      <c r="CX42" s="45"/>
      <c r="CY42" s="45"/>
      <c r="CZ42" s="45"/>
      <c r="DA42" s="45"/>
      <c r="DB42" s="45"/>
      <c r="DC42" s="45"/>
      <c r="DD42" s="45"/>
      <c r="DE42" s="45"/>
      <c r="DF42" s="45"/>
      <c r="DG42" s="45"/>
      <c r="DH42" s="45"/>
      <c r="DI42" s="45"/>
      <c r="DJ42" s="45"/>
      <c r="DK42" s="45"/>
      <c r="DL42" s="45"/>
      <c r="DM42" s="45"/>
      <c r="DN42" s="45"/>
      <c r="DO42" s="45"/>
      <c r="DP42" s="45"/>
      <c r="DQ42" s="45"/>
      <c r="DR42" s="45"/>
      <c r="DS42" s="45"/>
      <c r="DT42" s="45"/>
      <c r="DU42" s="45"/>
      <c r="DV42" s="45"/>
      <c r="DW42" s="45"/>
      <c r="DX42" s="45"/>
      <c r="DY42" s="45"/>
      <c r="DZ42" s="45"/>
      <c r="EA42" s="45"/>
      <c r="EB42" s="45"/>
      <c r="EC42" s="45"/>
      <c r="ED42" s="45"/>
      <c r="EE42" s="45"/>
      <c r="EF42" s="45"/>
      <c r="EG42" s="45"/>
      <c r="EH42" s="45"/>
      <c r="EI42" s="45"/>
      <c r="EJ42" s="45"/>
      <c r="EK42" s="45"/>
      <c r="EL42" s="45"/>
      <c r="EM42" s="45"/>
      <c r="EN42" s="45"/>
      <c r="EO42" s="45"/>
      <c r="EP42" s="45"/>
      <c r="EQ42" s="45"/>
      <c r="ER42" s="45"/>
      <c r="ES42" s="45"/>
      <c r="ET42" s="45"/>
      <c r="EU42" s="45"/>
      <c r="EV42" s="45"/>
      <c r="EW42" s="45"/>
      <c r="EX42" s="45"/>
      <c r="EY42" s="45"/>
      <c r="EZ42" s="45"/>
      <c r="FA42" s="45"/>
      <c r="FB42" s="45"/>
      <c r="FC42" s="45"/>
      <c r="FD42" s="45"/>
      <c r="FE42" s="45"/>
      <c r="FF42" s="45"/>
      <c r="FG42" s="45"/>
      <c r="FH42" s="45"/>
      <c r="FI42" s="45"/>
      <c r="FJ42" s="45"/>
      <c r="FK42" s="45"/>
      <c r="FL42" s="45"/>
      <c r="FM42" s="45"/>
      <c r="FN42" s="45"/>
      <c r="FO42" s="45"/>
      <c r="FP42" s="45"/>
      <c r="FQ42" s="45"/>
      <c r="FR42" s="45"/>
      <c r="FS42" s="45"/>
      <c r="FT42" s="45"/>
      <c r="FU42" s="45"/>
      <c r="FV42" s="45"/>
      <c r="FW42" s="45"/>
      <c r="FX42" s="45"/>
      <c r="FY42" s="45"/>
      <c r="FZ42" s="45"/>
      <c r="GA42" s="45"/>
      <c r="GB42" s="45"/>
      <c r="GC42" s="45"/>
    </row>
    <row r="43" spans="1:185" ht="30" x14ac:dyDescent="0.25">
      <c r="A43" s="116" t="s">
        <v>108</v>
      </c>
      <c r="B43" s="49">
        <f>'2 уровень'!C137</f>
        <v>1500</v>
      </c>
      <c r="C43" s="49">
        <f>'2 уровень'!D137</f>
        <v>1000</v>
      </c>
      <c r="D43" s="49">
        <f>'2 уровень'!E137</f>
        <v>561</v>
      </c>
      <c r="E43" s="180">
        <f>'2 уровень'!F137</f>
        <v>56.100000000000009</v>
      </c>
      <c r="F43" s="62">
        <f>'2 уровень'!G137</f>
        <v>3180.7649999999999</v>
      </c>
      <c r="G43" s="62">
        <f>'2 уровень'!H137</f>
        <v>2120.5100000000002</v>
      </c>
      <c r="H43" s="62">
        <f>'2 уровень'!I137</f>
        <v>1187.2709100000002</v>
      </c>
      <c r="I43" s="62">
        <f>'2 уровень'!J137</f>
        <v>55.989875548806658</v>
      </c>
      <c r="J43" s="103"/>
      <c r="L43" s="727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45"/>
      <c r="BR43" s="45"/>
      <c r="BS43" s="45"/>
      <c r="BT43" s="45"/>
      <c r="BU43" s="45"/>
      <c r="BV43" s="45"/>
      <c r="BW43" s="45"/>
      <c r="BX43" s="45"/>
      <c r="BY43" s="45"/>
      <c r="BZ43" s="45"/>
      <c r="CA43" s="45"/>
      <c r="CB43" s="45"/>
      <c r="CC43" s="45"/>
      <c r="CD43" s="45"/>
      <c r="CE43" s="45"/>
      <c r="CF43" s="45"/>
      <c r="CG43" s="45"/>
      <c r="CH43" s="45"/>
      <c r="CI43" s="45"/>
      <c r="CJ43" s="45"/>
      <c r="CK43" s="45"/>
      <c r="CL43" s="45"/>
      <c r="CM43" s="45"/>
      <c r="CN43" s="45"/>
      <c r="CO43" s="45"/>
      <c r="CP43" s="45"/>
      <c r="CQ43" s="45"/>
      <c r="CR43" s="45"/>
      <c r="CS43" s="45"/>
      <c r="CT43" s="45"/>
      <c r="CU43" s="45"/>
      <c r="CV43" s="45"/>
      <c r="CW43" s="45"/>
      <c r="CX43" s="45"/>
      <c r="CY43" s="45"/>
      <c r="CZ43" s="45"/>
      <c r="DA43" s="45"/>
      <c r="DB43" s="45"/>
      <c r="DC43" s="45"/>
      <c r="DD43" s="45"/>
      <c r="DE43" s="45"/>
      <c r="DF43" s="45"/>
      <c r="DG43" s="45"/>
      <c r="DH43" s="45"/>
      <c r="DI43" s="45"/>
      <c r="DJ43" s="45"/>
      <c r="DK43" s="45"/>
      <c r="DL43" s="45"/>
      <c r="DM43" s="45"/>
      <c r="DN43" s="45"/>
      <c r="DO43" s="45"/>
      <c r="DP43" s="45"/>
      <c r="DQ43" s="45"/>
      <c r="DR43" s="45"/>
      <c r="DS43" s="45"/>
      <c r="DT43" s="45"/>
      <c r="DU43" s="45"/>
      <c r="DV43" s="45"/>
      <c r="DW43" s="45"/>
      <c r="DX43" s="45"/>
      <c r="DY43" s="45"/>
      <c r="DZ43" s="45"/>
      <c r="EA43" s="45"/>
      <c r="EB43" s="45"/>
      <c r="EC43" s="45"/>
      <c r="ED43" s="45"/>
      <c r="EE43" s="45"/>
      <c r="EF43" s="45"/>
      <c r="EG43" s="45"/>
      <c r="EH43" s="45"/>
      <c r="EI43" s="45"/>
      <c r="EJ43" s="45"/>
      <c r="EK43" s="45"/>
      <c r="EL43" s="45"/>
      <c r="EM43" s="45"/>
      <c r="EN43" s="45"/>
      <c r="EO43" s="45"/>
      <c r="EP43" s="45"/>
      <c r="EQ43" s="45"/>
      <c r="ER43" s="45"/>
      <c r="ES43" s="45"/>
      <c r="ET43" s="45"/>
      <c r="EU43" s="45"/>
      <c r="EV43" s="45"/>
      <c r="EW43" s="45"/>
      <c r="EX43" s="45"/>
      <c r="EY43" s="45"/>
      <c r="EZ43" s="45"/>
      <c r="FA43" s="45"/>
      <c r="FB43" s="45"/>
      <c r="FC43" s="45"/>
      <c r="FD43" s="45"/>
      <c r="FE43" s="45"/>
      <c r="FF43" s="45"/>
      <c r="FG43" s="45"/>
      <c r="FH43" s="45"/>
      <c r="FI43" s="45"/>
      <c r="FJ43" s="45"/>
      <c r="FK43" s="45"/>
      <c r="FL43" s="45"/>
      <c r="FM43" s="45"/>
      <c r="FN43" s="45"/>
      <c r="FO43" s="45"/>
      <c r="FP43" s="45"/>
      <c r="FQ43" s="45"/>
      <c r="FR43" s="45"/>
      <c r="FS43" s="45"/>
      <c r="FT43" s="45"/>
      <c r="FU43" s="45"/>
      <c r="FV43" s="45"/>
      <c r="FW43" s="45"/>
      <c r="FX43" s="45"/>
      <c r="FY43" s="45"/>
      <c r="FZ43" s="45"/>
      <c r="GA43" s="45"/>
      <c r="GB43" s="45"/>
      <c r="GC43" s="45"/>
    </row>
    <row r="44" spans="1:185" ht="60" x14ac:dyDescent="0.25">
      <c r="A44" s="116" t="s">
        <v>81</v>
      </c>
      <c r="B44" s="49">
        <f>'2 уровень'!C138</f>
        <v>10800</v>
      </c>
      <c r="C44" s="49">
        <f>'2 уровень'!D138</f>
        <v>7200</v>
      </c>
      <c r="D44" s="49">
        <f>'2 уровень'!E138</f>
        <v>6927</v>
      </c>
      <c r="E44" s="180">
        <f>'2 уровень'!F138</f>
        <v>96.208333333333329</v>
      </c>
      <c r="F44" s="62">
        <f>'2 уровень'!G138</f>
        <v>29734.236000000001</v>
      </c>
      <c r="G44" s="62">
        <f>'2 уровень'!H138</f>
        <v>19822.82</v>
      </c>
      <c r="H44" s="62">
        <f>'2 уровень'!I138</f>
        <v>17987.798859999999</v>
      </c>
      <c r="I44" s="62">
        <f>'2 уровень'!J138</f>
        <v>90.74288552284689</v>
      </c>
      <c r="J44" s="103"/>
      <c r="L44" s="727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5"/>
      <c r="BR44" s="45"/>
      <c r="BS44" s="45"/>
      <c r="BT44" s="45"/>
      <c r="BU44" s="45"/>
      <c r="BV44" s="45"/>
      <c r="BW44" s="45"/>
      <c r="BX44" s="45"/>
      <c r="BY44" s="45"/>
      <c r="BZ44" s="45"/>
      <c r="CA44" s="45"/>
      <c r="CB44" s="45"/>
      <c r="CC44" s="45"/>
      <c r="CD44" s="45"/>
      <c r="CE44" s="45"/>
      <c r="CF44" s="45"/>
      <c r="CG44" s="45"/>
      <c r="CH44" s="45"/>
      <c r="CI44" s="45"/>
      <c r="CJ44" s="45"/>
      <c r="CK44" s="45"/>
      <c r="CL44" s="45"/>
      <c r="CM44" s="45"/>
      <c r="CN44" s="45"/>
      <c r="CO44" s="45"/>
      <c r="CP44" s="45"/>
      <c r="CQ44" s="45"/>
      <c r="CR44" s="45"/>
      <c r="CS44" s="45"/>
      <c r="CT44" s="45"/>
      <c r="CU44" s="45"/>
      <c r="CV44" s="45"/>
      <c r="CW44" s="45"/>
      <c r="CX44" s="45"/>
      <c r="CY44" s="45"/>
      <c r="CZ44" s="45"/>
      <c r="DA44" s="45"/>
      <c r="DB44" s="45"/>
      <c r="DC44" s="45"/>
      <c r="DD44" s="45"/>
      <c r="DE44" s="45"/>
      <c r="DF44" s="45"/>
      <c r="DG44" s="45"/>
      <c r="DH44" s="45"/>
      <c r="DI44" s="45"/>
      <c r="DJ44" s="45"/>
      <c r="DK44" s="45"/>
      <c r="DL44" s="45"/>
      <c r="DM44" s="45"/>
      <c r="DN44" s="45"/>
      <c r="DO44" s="45"/>
      <c r="DP44" s="45"/>
      <c r="DQ44" s="45"/>
      <c r="DR44" s="45"/>
      <c r="DS44" s="45"/>
      <c r="DT44" s="45"/>
      <c r="DU44" s="45"/>
      <c r="DV44" s="45"/>
      <c r="DW44" s="45"/>
      <c r="DX44" s="45"/>
      <c r="DY44" s="45"/>
      <c r="DZ44" s="45"/>
      <c r="EA44" s="45"/>
      <c r="EB44" s="45"/>
      <c r="EC44" s="45"/>
      <c r="ED44" s="45"/>
      <c r="EE44" s="45"/>
      <c r="EF44" s="45"/>
      <c r="EG44" s="45"/>
      <c r="EH44" s="45"/>
      <c r="EI44" s="45"/>
      <c r="EJ44" s="45"/>
      <c r="EK44" s="45"/>
      <c r="EL44" s="45"/>
      <c r="EM44" s="45"/>
      <c r="EN44" s="45"/>
      <c r="EO44" s="45"/>
      <c r="EP44" s="45"/>
      <c r="EQ44" s="45"/>
      <c r="ER44" s="45"/>
      <c r="ES44" s="45"/>
      <c r="ET44" s="45"/>
      <c r="EU44" s="45"/>
      <c r="EV44" s="45"/>
      <c r="EW44" s="45"/>
      <c r="EX44" s="45"/>
      <c r="EY44" s="45"/>
      <c r="EZ44" s="45"/>
      <c r="FA44" s="45"/>
      <c r="FB44" s="45"/>
      <c r="FC44" s="45"/>
      <c r="FD44" s="45"/>
      <c r="FE44" s="45"/>
      <c r="FF44" s="45"/>
      <c r="FG44" s="45"/>
      <c r="FH44" s="45"/>
      <c r="FI44" s="45"/>
      <c r="FJ44" s="45"/>
      <c r="FK44" s="45"/>
      <c r="FL44" s="45"/>
      <c r="FM44" s="45"/>
      <c r="FN44" s="45"/>
      <c r="FO44" s="45"/>
      <c r="FP44" s="45"/>
      <c r="FQ44" s="45"/>
      <c r="FR44" s="45"/>
      <c r="FS44" s="45"/>
      <c r="FT44" s="45"/>
      <c r="FU44" s="45"/>
      <c r="FV44" s="45"/>
      <c r="FW44" s="45"/>
      <c r="FX44" s="45"/>
      <c r="FY44" s="45"/>
      <c r="FZ44" s="45"/>
      <c r="GA44" s="45"/>
      <c r="GB44" s="45"/>
      <c r="GC44" s="45"/>
    </row>
    <row r="45" spans="1:185" ht="45" x14ac:dyDescent="0.25">
      <c r="A45" s="116" t="s">
        <v>109</v>
      </c>
      <c r="B45" s="49">
        <f>'2 уровень'!C139</f>
        <v>4126</v>
      </c>
      <c r="C45" s="49">
        <f>'2 уровень'!D139</f>
        <v>2751</v>
      </c>
      <c r="D45" s="49">
        <f>'2 уровень'!E139</f>
        <v>3268</v>
      </c>
      <c r="E45" s="180">
        <f>'2 уровень'!F139</f>
        <v>118.79316612141039</v>
      </c>
      <c r="F45" s="62">
        <f>'2 уровень'!G139</f>
        <v>4044.1401599999999</v>
      </c>
      <c r="G45" s="62">
        <f>'2 уровень'!H139</f>
        <v>2696.09</v>
      </c>
      <c r="H45" s="62">
        <f>'2 уровень'!I139</f>
        <v>3511.4382799999998</v>
      </c>
      <c r="I45" s="62">
        <f>'2 уровень'!J139</f>
        <v>130.24187916575485</v>
      </c>
      <c r="J45" s="103"/>
      <c r="L45" s="727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  <c r="BL45" s="45"/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5"/>
      <c r="CA45" s="45"/>
      <c r="CB45" s="45"/>
      <c r="CC45" s="45"/>
      <c r="CD45" s="45"/>
      <c r="CE45" s="45"/>
      <c r="CF45" s="45"/>
      <c r="CG45" s="45"/>
      <c r="CH45" s="45"/>
      <c r="CI45" s="45"/>
      <c r="CJ45" s="45"/>
      <c r="CK45" s="45"/>
      <c r="CL45" s="45"/>
      <c r="CM45" s="45"/>
      <c r="CN45" s="45"/>
      <c r="CO45" s="45"/>
      <c r="CP45" s="45"/>
      <c r="CQ45" s="45"/>
      <c r="CR45" s="45"/>
      <c r="CS45" s="45"/>
      <c r="CT45" s="45"/>
      <c r="CU45" s="45"/>
      <c r="CV45" s="45"/>
      <c r="CW45" s="45"/>
      <c r="CX45" s="45"/>
      <c r="CY45" s="45"/>
      <c r="CZ45" s="45"/>
      <c r="DA45" s="45"/>
      <c r="DB45" s="45"/>
      <c r="DC45" s="45"/>
      <c r="DD45" s="45"/>
      <c r="DE45" s="45"/>
      <c r="DF45" s="45"/>
      <c r="DG45" s="45"/>
      <c r="DH45" s="45"/>
      <c r="DI45" s="45"/>
      <c r="DJ45" s="45"/>
      <c r="DK45" s="45"/>
      <c r="DL45" s="45"/>
      <c r="DM45" s="45"/>
      <c r="DN45" s="45"/>
      <c r="DO45" s="45"/>
      <c r="DP45" s="45"/>
      <c r="DQ45" s="45"/>
      <c r="DR45" s="45"/>
      <c r="DS45" s="45"/>
      <c r="DT45" s="45"/>
      <c r="DU45" s="45"/>
      <c r="DV45" s="45"/>
      <c r="DW45" s="45"/>
      <c r="DX45" s="45"/>
      <c r="DY45" s="45"/>
      <c r="DZ45" s="45"/>
      <c r="EA45" s="45"/>
      <c r="EB45" s="45"/>
      <c r="EC45" s="45"/>
      <c r="ED45" s="45"/>
      <c r="EE45" s="45"/>
      <c r="EF45" s="45"/>
      <c r="EG45" s="45"/>
      <c r="EH45" s="45"/>
      <c r="EI45" s="45"/>
      <c r="EJ45" s="45"/>
      <c r="EK45" s="45"/>
      <c r="EL45" s="45"/>
      <c r="EM45" s="45"/>
      <c r="EN45" s="45"/>
      <c r="EO45" s="45"/>
      <c r="EP45" s="45"/>
      <c r="EQ45" s="45"/>
      <c r="ER45" s="45"/>
      <c r="ES45" s="45"/>
      <c r="ET45" s="45"/>
      <c r="EU45" s="45"/>
      <c r="EV45" s="45"/>
      <c r="EW45" s="45"/>
      <c r="EX45" s="45"/>
      <c r="EY45" s="45"/>
      <c r="EZ45" s="45"/>
      <c r="FA45" s="45"/>
      <c r="FB45" s="45"/>
      <c r="FC45" s="45"/>
      <c r="FD45" s="45"/>
      <c r="FE45" s="45"/>
      <c r="FF45" s="45"/>
      <c r="FG45" s="45"/>
      <c r="FH45" s="45"/>
      <c r="FI45" s="45"/>
      <c r="FJ45" s="45"/>
      <c r="FK45" s="45"/>
      <c r="FL45" s="45"/>
      <c r="FM45" s="45"/>
      <c r="FN45" s="45"/>
      <c r="FO45" s="45"/>
      <c r="FP45" s="45"/>
      <c r="FQ45" s="45"/>
      <c r="FR45" s="45"/>
      <c r="FS45" s="45"/>
      <c r="FT45" s="45"/>
      <c r="FU45" s="45"/>
      <c r="FV45" s="45"/>
      <c r="FW45" s="45"/>
      <c r="FX45" s="45"/>
      <c r="FY45" s="45"/>
      <c r="FZ45" s="45"/>
      <c r="GA45" s="45"/>
      <c r="GB45" s="45"/>
      <c r="GC45" s="45"/>
    </row>
    <row r="46" spans="1:185" ht="30" x14ac:dyDescent="0.25">
      <c r="A46" s="667" t="s">
        <v>123</v>
      </c>
      <c r="B46" s="544">
        <f>'2 уровень'!C140</f>
        <v>43595</v>
      </c>
      <c r="C46" s="544">
        <f>'2 уровень'!D140</f>
        <v>29063</v>
      </c>
      <c r="D46" s="544">
        <f>'2 уровень'!E140</f>
        <v>28737</v>
      </c>
      <c r="E46" s="545">
        <f>'2 уровень'!F140</f>
        <v>98.878298867976469</v>
      </c>
      <c r="F46" s="546">
        <f>'2 уровень'!G140</f>
        <v>37074.815900000001</v>
      </c>
      <c r="G46" s="546">
        <f>'2 уровень'!H140</f>
        <v>24716.54</v>
      </c>
      <c r="H46" s="546">
        <f>'2 уровень'!I140</f>
        <v>27930.13927</v>
      </c>
      <c r="I46" s="546">
        <f>'2 уровень'!J140</f>
        <v>113.00181688051806</v>
      </c>
      <c r="J46" s="103"/>
      <c r="K46" s="103"/>
      <c r="L46" s="103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5"/>
      <c r="BQ46" s="45"/>
      <c r="BR46" s="45"/>
      <c r="BS46" s="45"/>
      <c r="BT46" s="45"/>
      <c r="BU46" s="45"/>
      <c r="BV46" s="45"/>
      <c r="BW46" s="45"/>
      <c r="BX46" s="45"/>
      <c r="BY46" s="45"/>
      <c r="BZ46" s="45"/>
      <c r="CA46" s="45"/>
      <c r="CB46" s="45"/>
      <c r="CC46" s="45"/>
      <c r="CD46" s="45"/>
      <c r="CE46" s="45"/>
      <c r="CF46" s="45"/>
      <c r="CG46" s="45"/>
      <c r="CH46" s="45"/>
      <c r="CI46" s="45"/>
      <c r="CJ46" s="45"/>
      <c r="CK46" s="45"/>
      <c r="CL46" s="45"/>
      <c r="CM46" s="45"/>
      <c r="CN46" s="45"/>
      <c r="CO46" s="45"/>
      <c r="CP46" s="45"/>
      <c r="CQ46" s="45"/>
      <c r="CR46" s="45"/>
      <c r="CS46" s="45"/>
      <c r="CT46" s="45"/>
      <c r="CU46" s="45"/>
      <c r="CV46" s="45"/>
      <c r="CW46" s="45"/>
      <c r="CX46" s="45"/>
      <c r="CY46" s="45"/>
      <c r="CZ46" s="45"/>
      <c r="DA46" s="45"/>
      <c r="DB46" s="45"/>
      <c r="DC46" s="45"/>
      <c r="DD46" s="45"/>
      <c r="DE46" s="45"/>
      <c r="DF46" s="45"/>
      <c r="DG46" s="45"/>
      <c r="DH46" s="45"/>
      <c r="DI46" s="45"/>
      <c r="DJ46" s="45"/>
      <c r="DK46" s="45"/>
      <c r="DL46" s="45"/>
      <c r="DM46" s="45"/>
      <c r="DN46" s="45"/>
      <c r="DO46" s="45"/>
      <c r="DP46" s="45"/>
      <c r="DQ46" s="45"/>
      <c r="DR46" s="45"/>
      <c r="DS46" s="45"/>
      <c r="DT46" s="45"/>
      <c r="DU46" s="45"/>
      <c r="DV46" s="45"/>
      <c r="DW46" s="45"/>
      <c r="DX46" s="45"/>
      <c r="DY46" s="45"/>
      <c r="DZ46" s="45"/>
      <c r="EA46" s="45"/>
      <c r="EB46" s="45"/>
      <c r="EC46" s="45"/>
      <c r="ED46" s="45"/>
      <c r="EE46" s="45"/>
      <c r="EF46" s="45"/>
      <c r="EG46" s="45"/>
      <c r="EH46" s="45"/>
      <c r="EI46" s="45"/>
      <c r="EJ46" s="45"/>
      <c r="EK46" s="45"/>
      <c r="EL46" s="45"/>
      <c r="EM46" s="45"/>
      <c r="EN46" s="45"/>
      <c r="EO46" s="45"/>
      <c r="EP46" s="45"/>
      <c r="EQ46" s="45"/>
      <c r="ER46" s="45"/>
      <c r="ES46" s="45"/>
      <c r="ET46" s="45"/>
      <c r="EU46" s="45"/>
      <c r="EV46" s="45"/>
      <c r="EW46" s="45"/>
      <c r="EX46" s="45"/>
      <c r="EY46" s="45"/>
      <c r="EZ46" s="45"/>
      <c r="FA46" s="45"/>
      <c r="FB46" s="45"/>
      <c r="FC46" s="45"/>
      <c r="FD46" s="45"/>
      <c r="FE46" s="45"/>
      <c r="FF46" s="45"/>
      <c r="FG46" s="45"/>
      <c r="FH46" s="45"/>
      <c r="FI46" s="45"/>
      <c r="FJ46" s="45"/>
      <c r="FK46" s="45"/>
      <c r="FL46" s="45"/>
      <c r="FM46" s="45"/>
      <c r="FN46" s="45"/>
      <c r="FO46" s="45"/>
      <c r="FP46" s="45"/>
      <c r="FQ46" s="45"/>
      <c r="FR46" s="45"/>
      <c r="FS46" s="45"/>
      <c r="FT46" s="45"/>
      <c r="FU46" s="45"/>
      <c r="FV46" s="45"/>
      <c r="FW46" s="45"/>
      <c r="FX46" s="45"/>
      <c r="FY46" s="45"/>
      <c r="FZ46" s="45"/>
      <c r="GA46" s="45"/>
      <c r="GB46" s="45"/>
      <c r="GC46" s="45"/>
    </row>
    <row r="47" spans="1:185" ht="30" x14ac:dyDescent="0.25">
      <c r="A47" s="667" t="s">
        <v>124</v>
      </c>
      <c r="B47" s="544">
        <f>'2 уровень'!C141</f>
        <v>2640</v>
      </c>
      <c r="C47" s="544">
        <f>'2 уровень'!D141</f>
        <v>1760</v>
      </c>
      <c r="D47" s="544">
        <f>'2 уровень'!E141</f>
        <v>1733</v>
      </c>
      <c r="E47" s="545">
        <f>'2 уровень'!F141</f>
        <v>98.465909090909093</v>
      </c>
      <c r="F47" s="546">
        <f>'2 уровень'!G141</f>
        <v>2569.3008000000004</v>
      </c>
      <c r="G47" s="546">
        <f>'2 уровень'!H141</f>
        <v>1712.87</v>
      </c>
      <c r="H47" s="546">
        <f>'2 уровень'!I141</f>
        <v>1684.4186900000002</v>
      </c>
      <c r="I47" s="546">
        <f>'2 уровень'!J141</f>
        <v>98.338968514831848</v>
      </c>
      <c r="J47" s="103"/>
      <c r="K47" s="103"/>
      <c r="L47" s="103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  <c r="BY47" s="45"/>
      <c r="BZ47" s="45"/>
      <c r="CA47" s="45"/>
      <c r="CB47" s="45"/>
      <c r="CC47" s="45"/>
      <c r="CD47" s="45"/>
      <c r="CE47" s="45"/>
      <c r="CF47" s="45"/>
      <c r="CG47" s="45"/>
      <c r="CH47" s="45"/>
      <c r="CI47" s="45"/>
      <c r="CJ47" s="45"/>
      <c r="CK47" s="45"/>
      <c r="CL47" s="45"/>
      <c r="CM47" s="45"/>
      <c r="CN47" s="45"/>
      <c r="CO47" s="45"/>
      <c r="CP47" s="45"/>
      <c r="CQ47" s="45"/>
      <c r="CR47" s="45"/>
      <c r="CS47" s="45"/>
      <c r="CT47" s="45"/>
      <c r="CU47" s="45"/>
      <c r="CV47" s="45"/>
      <c r="CW47" s="45"/>
      <c r="CX47" s="45"/>
      <c r="CY47" s="45"/>
      <c r="CZ47" s="45"/>
      <c r="DA47" s="45"/>
      <c r="DB47" s="45"/>
      <c r="DC47" s="45"/>
      <c r="DD47" s="45"/>
      <c r="DE47" s="45"/>
      <c r="DF47" s="45"/>
      <c r="DG47" s="45"/>
      <c r="DH47" s="45"/>
      <c r="DI47" s="45"/>
      <c r="DJ47" s="45"/>
      <c r="DK47" s="45"/>
      <c r="DL47" s="45"/>
      <c r="DM47" s="45"/>
      <c r="DN47" s="45"/>
      <c r="DO47" s="45"/>
      <c r="DP47" s="45"/>
      <c r="DQ47" s="45"/>
      <c r="DR47" s="45"/>
      <c r="DS47" s="45"/>
      <c r="DT47" s="45"/>
      <c r="DU47" s="45"/>
      <c r="DV47" s="45"/>
      <c r="DW47" s="45"/>
      <c r="DX47" s="45"/>
      <c r="DY47" s="45"/>
      <c r="DZ47" s="45"/>
      <c r="EA47" s="45"/>
      <c r="EB47" s="45"/>
      <c r="EC47" s="45"/>
      <c r="ED47" s="45"/>
      <c r="EE47" s="45"/>
      <c r="EF47" s="45"/>
      <c r="EG47" s="45"/>
      <c r="EH47" s="45"/>
      <c r="EI47" s="45"/>
      <c r="EJ47" s="45"/>
      <c r="EK47" s="45"/>
      <c r="EL47" s="45"/>
      <c r="EM47" s="45"/>
      <c r="EN47" s="45"/>
      <c r="EO47" s="45"/>
      <c r="EP47" s="45"/>
      <c r="EQ47" s="45"/>
      <c r="ER47" s="45"/>
      <c r="ES47" s="45"/>
      <c r="ET47" s="45"/>
      <c r="EU47" s="45"/>
      <c r="EV47" s="45"/>
      <c r="EW47" s="45"/>
      <c r="EX47" s="45"/>
      <c r="EY47" s="45"/>
      <c r="EZ47" s="45"/>
      <c r="FA47" s="45"/>
      <c r="FB47" s="45"/>
      <c r="FC47" s="45"/>
      <c r="FD47" s="45"/>
      <c r="FE47" s="45"/>
      <c r="FF47" s="45"/>
      <c r="FG47" s="45"/>
      <c r="FH47" s="45"/>
      <c r="FI47" s="45"/>
      <c r="FJ47" s="45"/>
      <c r="FK47" s="45"/>
      <c r="FL47" s="45"/>
      <c r="FM47" s="45"/>
      <c r="FN47" s="45"/>
      <c r="FO47" s="45"/>
      <c r="FP47" s="45"/>
      <c r="FQ47" s="45"/>
      <c r="FR47" s="45"/>
      <c r="FS47" s="45"/>
      <c r="FT47" s="45"/>
      <c r="FU47" s="45"/>
      <c r="FV47" s="45"/>
      <c r="FW47" s="45"/>
      <c r="FX47" s="45"/>
      <c r="FY47" s="45"/>
      <c r="FZ47" s="45"/>
      <c r="GA47" s="45"/>
      <c r="GB47" s="45"/>
      <c r="GC47" s="45"/>
    </row>
    <row r="48" spans="1:185" ht="30.75" thickBot="1" x14ac:dyDescent="0.3">
      <c r="A48" s="667" t="s">
        <v>125</v>
      </c>
      <c r="B48" s="544">
        <f>'2 уровень'!C142</f>
        <v>3143</v>
      </c>
      <c r="C48" s="544">
        <f>'2 уровень'!D142</f>
        <v>2095</v>
      </c>
      <c r="D48" s="544">
        <f>'2 уровень'!E142</f>
        <v>1217</v>
      </c>
      <c r="E48" s="545">
        <f>'2 уровень'!F142</f>
        <v>58.090692124105011</v>
      </c>
      <c r="F48" s="546">
        <f>'2 уровень'!G142</f>
        <v>3058.8304600000001</v>
      </c>
      <c r="G48" s="546">
        <f>'2 уровень'!H142</f>
        <v>2039.22</v>
      </c>
      <c r="H48" s="546">
        <f>'2 уровень'!I142</f>
        <v>1183.5270600000003</v>
      </c>
      <c r="I48" s="546">
        <f>'2 уровень'!J142</f>
        <v>58.038223438373514</v>
      </c>
      <c r="J48" s="103"/>
      <c r="K48" s="103"/>
      <c r="L48" s="103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BR48" s="45"/>
      <c r="BS48" s="45"/>
      <c r="BT48" s="45"/>
      <c r="BU48" s="45"/>
      <c r="BV48" s="45"/>
      <c r="BW48" s="45"/>
      <c r="BX48" s="45"/>
      <c r="BY48" s="45"/>
      <c r="BZ48" s="45"/>
      <c r="CA48" s="45"/>
      <c r="CB48" s="45"/>
      <c r="CC48" s="45"/>
      <c r="CD48" s="45"/>
      <c r="CE48" s="45"/>
      <c r="CF48" s="45"/>
      <c r="CG48" s="45"/>
      <c r="CH48" s="45"/>
      <c r="CI48" s="45"/>
      <c r="CJ48" s="45"/>
      <c r="CK48" s="45"/>
      <c r="CL48" s="45"/>
      <c r="CM48" s="45"/>
      <c r="CN48" s="45"/>
      <c r="CO48" s="45"/>
      <c r="CP48" s="45"/>
      <c r="CQ48" s="45"/>
      <c r="CR48" s="45"/>
      <c r="CS48" s="45"/>
      <c r="CT48" s="45"/>
      <c r="CU48" s="45"/>
      <c r="CV48" s="45"/>
      <c r="CW48" s="45"/>
      <c r="CX48" s="45"/>
      <c r="CY48" s="45"/>
      <c r="CZ48" s="45"/>
      <c r="DA48" s="45"/>
      <c r="DB48" s="45"/>
      <c r="DC48" s="45"/>
      <c r="DD48" s="45"/>
      <c r="DE48" s="45"/>
      <c r="DF48" s="45"/>
      <c r="DG48" s="45"/>
      <c r="DH48" s="45"/>
      <c r="DI48" s="45"/>
      <c r="DJ48" s="45"/>
      <c r="DK48" s="45"/>
      <c r="DL48" s="45"/>
      <c r="DM48" s="45"/>
      <c r="DN48" s="45"/>
      <c r="DO48" s="45"/>
      <c r="DP48" s="45"/>
      <c r="DQ48" s="45"/>
      <c r="DR48" s="45"/>
      <c r="DS48" s="45"/>
      <c r="DT48" s="45"/>
      <c r="DU48" s="45"/>
      <c r="DV48" s="45"/>
      <c r="DW48" s="45"/>
      <c r="DX48" s="45"/>
      <c r="DY48" s="45"/>
      <c r="DZ48" s="45"/>
      <c r="EA48" s="45"/>
      <c r="EB48" s="45"/>
      <c r="EC48" s="45"/>
      <c r="ED48" s="45"/>
      <c r="EE48" s="45"/>
      <c r="EF48" s="45"/>
      <c r="EG48" s="45"/>
      <c r="EH48" s="45"/>
      <c r="EI48" s="45"/>
      <c r="EJ48" s="45"/>
      <c r="EK48" s="45"/>
      <c r="EL48" s="45"/>
      <c r="EM48" s="45"/>
      <c r="EN48" s="45"/>
      <c r="EO48" s="45"/>
      <c r="EP48" s="45"/>
      <c r="EQ48" s="45"/>
      <c r="ER48" s="45"/>
      <c r="ES48" s="45"/>
      <c r="ET48" s="45"/>
      <c r="EU48" s="45"/>
      <c r="EV48" s="45"/>
      <c r="EW48" s="45"/>
      <c r="EX48" s="45"/>
      <c r="EY48" s="45"/>
      <c r="EZ48" s="45"/>
      <c r="FA48" s="45"/>
      <c r="FB48" s="45"/>
      <c r="FC48" s="45"/>
      <c r="FD48" s="45"/>
      <c r="FE48" s="45"/>
      <c r="FF48" s="45"/>
      <c r="FG48" s="45"/>
      <c r="FH48" s="45"/>
      <c r="FI48" s="45"/>
      <c r="FJ48" s="45"/>
      <c r="FK48" s="45"/>
      <c r="FL48" s="45"/>
      <c r="FM48" s="45"/>
      <c r="FN48" s="45"/>
      <c r="FO48" s="45"/>
      <c r="FP48" s="45"/>
      <c r="FQ48" s="45"/>
      <c r="FR48" s="45"/>
      <c r="FS48" s="45"/>
      <c r="FT48" s="45"/>
      <c r="FU48" s="45"/>
      <c r="FV48" s="45"/>
      <c r="FW48" s="45"/>
      <c r="FX48" s="45"/>
      <c r="FY48" s="45"/>
      <c r="FZ48" s="45"/>
      <c r="GA48" s="45"/>
      <c r="GB48" s="45"/>
      <c r="GC48" s="45"/>
    </row>
    <row r="49" spans="1:185" ht="15.75" thickBot="1" x14ac:dyDescent="0.3">
      <c r="A49" s="548" t="s">
        <v>106</v>
      </c>
      <c r="B49" s="549">
        <f>'2 уровень'!C143</f>
        <v>0</v>
      </c>
      <c r="C49" s="549">
        <f>'2 уровень'!D143</f>
        <v>0</v>
      </c>
      <c r="D49" s="549">
        <f>'2 уровень'!E143</f>
        <v>0</v>
      </c>
      <c r="E49" s="550">
        <f>'2 уровень'!F143</f>
        <v>0</v>
      </c>
      <c r="F49" s="551">
        <f>'2 уровень'!G143</f>
        <v>90492.85113000001</v>
      </c>
      <c r="G49" s="551">
        <f>'2 уровень'!H143</f>
        <v>60328.55</v>
      </c>
      <c r="H49" s="551">
        <f>'2 уровень'!I143</f>
        <v>61552.218119999998</v>
      </c>
      <c r="I49" s="551">
        <f>'2 уровень'!J143</f>
        <v>102.02834001480228</v>
      </c>
      <c r="J49" s="103"/>
      <c r="L49" s="727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  <c r="CA49" s="45"/>
      <c r="CB49" s="45"/>
      <c r="CC49" s="45"/>
      <c r="CD49" s="45"/>
      <c r="CE49" s="45"/>
      <c r="CF49" s="45"/>
      <c r="CG49" s="45"/>
      <c r="CH49" s="45"/>
      <c r="CI49" s="45"/>
      <c r="CJ49" s="45"/>
      <c r="CK49" s="45"/>
      <c r="CL49" s="45"/>
      <c r="CM49" s="45"/>
      <c r="CN49" s="45"/>
      <c r="CO49" s="45"/>
      <c r="CP49" s="45"/>
      <c r="CQ49" s="45"/>
      <c r="CR49" s="45"/>
      <c r="CS49" s="45"/>
      <c r="CT49" s="45"/>
      <c r="CU49" s="45"/>
      <c r="CV49" s="45"/>
      <c r="CW49" s="45"/>
      <c r="CX49" s="45"/>
      <c r="CY49" s="45"/>
      <c r="CZ49" s="45"/>
      <c r="DA49" s="45"/>
      <c r="DB49" s="45"/>
      <c r="DC49" s="45"/>
      <c r="DD49" s="45"/>
      <c r="DE49" s="45"/>
      <c r="DF49" s="45"/>
      <c r="DG49" s="45"/>
      <c r="DH49" s="45"/>
      <c r="DI49" s="45"/>
      <c r="DJ49" s="45"/>
      <c r="DK49" s="45"/>
      <c r="DL49" s="45"/>
      <c r="DM49" s="45"/>
      <c r="DN49" s="45"/>
      <c r="DO49" s="45"/>
      <c r="DP49" s="45"/>
      <c r="DQ49" s="45"/>
      <c r="DR49" s="45"/>
      <c r="DS49" s="45"/>
      <c r="DT49" s="45"/>
      <c r="DU49" s="45"/>
      <c r="DV49" s="45"/>
      <c r="DW49" s="45"/>
      <c r="DX49" s="45"/>
      <c r="DY49" s="45"/>
      <c r="DZ49" s="45"/>
      <c r="EA49" s="45"/>
      <c r="EB49" s="45"/>
      <c r="EC49" s="45"/>
      <c r="ED49" s="45"/>
      <c r="EE49" s="45"/>
      <c r="EF49" s="45"/>
      <c r="EG49" s="45"/>
      <c r="EH49" s="45"/>
      <c r="EI49" s="45"/>
      <c r="EJ49" s="45"/>
      <c r="EK49" s="45"/>
      <c r="EL49" s="45"/>
      <c r="EM49" s="45"/>
      <c r="EN49" s="45"/>
      <c r="EO49" s="45"/>
      <c r="EP49" s="45"/>
      <c r="EQ49" s="45"/>
      <c r="ER49" s="45"/>
      <c r="ES49" s="45"/>
      <c r="ET49" s="45"/>
      <c r="EU49" s="45"/>
      <c r="EV49" s="45"/>
      <c r="EW49" s="45"/>
      <c r="EX49" s="45"/>
      <c r="EY49" s="45"/>
      <c r="EZ49" s="45"/>
      <c r="FA49" s="45"/>
      <c r="FB49" s="45"/>
      <c r="FC49" s="45"/>
      <c r="FD49" s="45"/>
      <c r="FE49" s="45"/>
      <c r="FF49" s="45"/>
      <c r="FG49" s="45"/>
      <c r="FH49" s="45"/>
      <c r="FI49" s="45"/>
      <c r="FJ49" s="45"/>
      <c r="FK49" s="45"/>
      <c r="FL49" s="45"/>
      <c r="FM49" s="45"/>
      <c r="FN49" s="45"/>
      <c r="FO49" s="45"/>
      <c r="FP49" s="45"/>
      <c r="FQ49" s="45"/>
      <c r="FR49" s="45"/>
      <c r="FS49" s="45"/>
      <c r="FT49" s="45"/>
      <c r="FU49" s="45"/>
      <c r="FV49" s="45"/>
      <c r="FW49" s="45"/>
      <c r="FX49" s="45"/>
      <c r="FY49" s="45"/>
      <c r="FZ49" s="45"/>
      <c r="GA49" s="45"/>
      <c r="GB49" s="45"/>
      <c r="GC49" s="45"/>
    </row>
    <row r="50" spans="1:185" ht="15" customHeight="1" x14ac:dyDescent="0.25">
      <c r="A50" s="96" t="s">
        <v>18</v>
      </c>
      <c r="B50" s="97"/>
      <c r="C50" s="97"/>
      <c r="D50" s="97"/>
      <c r="E50" s="183"/>
      <c r="F50" s="98"/>
      <c r="G50" s="98"/>
      <c r="H50" s="98"/>
      <c r="I50" s="98"/>
      <c r="J50" s="103"/>
      <c r="L50" s="727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5"/>
      <c r="BK50" s="45"/>
      <c r="BL50" s="45"/>
      <c r="BM50" s="45"/>
      <c r="BN50" s="45"/>
      <c r="BO50" s="45"/>
      <c r="BP50" s="45"/>
      <c r="BQ50" s="45"/>
      <c r="BR50" s="45"/>
      <c r="BS50" s="45"/>
      <c r="BT50" s="45"/>
      <c r="BU50" s="45"/>
      <c r="BV50" s="45"/>
      <c r="BW50" s="45"/>
      <c r="BX50" s="45"/>
      <c r="BY50" s="45"/>
      <c r="BZ50" s="45"/>
      <c r="CA50" s="45"/>
      <c r="CB50" s="45"/>
      <c r="CC50" s="45"/>
      <c r="CD50" s="45"/>
      <c r="CE50" s="45"/>
      <c r="CF50" s="45"/>
      <c r="CG50" s="45"/>
      <c r="CH50" s="45"/>
      <c r="CI50" s="45"/>
      <c r="CJ50" s="45"/>
      <c r="CK50" s="45"/>
      <c r="CL50" s="45"/>
      <c r="CM50" s="45"/>
      <c r="CN50" s="45"/>
      <c r="CO50" s="45"/>
      <c r="CP50" s="45"/>
      <c r="CQ50" s="45"/>
      <c r="CR50" s="45"/>
      <c r="CS50" s="45"/>
      <c r="CT50" s="45"/>
      <c r="CU50" s="45"/>
      <c r="CV50" s="45"/>
      <c r="CW50" s="45"/>
      <c r="CX50" s="45"/>
      <c r="CY50" s="45"/>
      <c r="CZ50" s="45"/>
      <c r="DA50" s="45"/>
      <c r="DB50" s="45"/>
      <c r="DC50" s="45"/>
      <c r="DD50" s="45"/>
      <c r="DE50" s="45"/>
      <c r="DF50" s="45"/>
      <c r="DG50" s="45"/>
      <c r="DH50" s="45"/>
      <c r="DI50" s="45"/>
      <c r="DJ50" s="45"/>
      <c r="DK50" s="45"/>
      <c r="DL50" s="45"/>
      <c r="DM50" s="45"/>
      <c r="DN50" s="45"/>
      <c r="DO50" s="45"/>
      <c r="DP50" s="45"/>
      <c r="DQ50" s="45"/>
      <c r="DR50" s="45"/>
      <c r="DS50" s="45"/>
      <c r="DT50" s="45"/>
      <c r="DU50" s="45"/>
      <c r="DV50" s="45"/>
      <c r="DW50" s="45"/>
      <c r="DX50" s="45"/>
      <c r="DY50" s="45"/>
      <c r="DZ50" s="45"/>
      <c r="EA50" s="45"/>
      <c r="EB50" s="45"/>
      <c r="EC50" s="45"/>
      <c r="ED50" s="45"/>
      <c r="EE50" s="45"/>
      <c r="EF50" s="45"/>
      <c r="EG50" s="45"/>
      <c r="EH50" s="45"/>
      <c r="EI50" s="45"/>
      <c r="EJ50" s="45"/>
      <c r="EK50" s="45"/>
      <c r="EL50" s="45"/>
      <c r="EM50" s="45"/>
      <c r="EN50" s="45"/>
      <c r="EO50" s="45"/>
      <c r="EP50" s="45"/>
      <c r="EQ50" s="45"/>
      <c r="ER50" s="45"/>
      <c r="ES50" s="45"/>
      <c r="ET50" s="45"/>
      <c r="EU50" s="45"/>
      <c r="EV50" s="45"/>
      <c r="EW50" s="45"/>
      <c r="EX50" s="45"/>
      <c r="EY50" s="45"/>
      <c r="EZ50" s="45"/>
      <c r="FA50" s="45"/>
      <c r="FB50" s="45"/>
      <c r="FC50" s="45"/>
      <c r="FD50" s="45"/>
      <c r="FE50" s="45"/>
      <c r="FF50" s="45"/>
      <c r="FG50" s="45"/>
      <c r="FH50" s="45"/>
      <c r="FI50" s="45"/>
      <c r="FJ50" s="45"/>
      <c r="FK50" s="45"/>
      <c r="FL50" s="45"/>
      <c r="FM50" s="45"/>
      <c r="FN50" s="45"/>
      <c r="FO50" s="45"/>
      <c r="FP50" s="45"/>
      <c r="FQ50" s="45"/>
      <c r="FR50" s="45"/>
      <c r="FS50" s="45"/>
      <c r="FT50" s="45"/>
      <c r="FU50" s="45"/>
      <c r="FV50" s="45"/>
      <c r="FW50" s="45"/>
      <c r="FX50" s="45"/>
      <c r="FY50" s="45"/>
      <c r="FZ50" s="45"/>
      <c r="GA50" s="45"/>
      <c r="GB50" s="45"/>
      <c r="GC50" s="45"/>
    </row>
    <row r="51" spans="1:185" ht="30" x14ac:dyDescent="0.25">
      <c r="A51" s="542" t="s">
        <v>120</v>
      </c>
      <c r="B51" s="580">
        <f>'Аян '!B21</f>
        <v>505</v>
      </c>
      <c r="C51" s="580">
        <f>'Аян '!C21</f>
        <v>336</v>
      </c>
      <c r="D51" s="580">
        <f>'Аян '!D21</f>
        <v>410</v>
      </c>
      <c r="E51" s="581">
        <f>'Аян '!E21</f>
        <v>122.02380952380953</v>
      </c>
      <c r="F51" s="543">
        <f>'Аян '!F21</f>
        <v>1482.8329799999999</v>
      </c>
      <c r="G51" s="543">
        <f>'Аян '!G21</f>
        <v>988.56000000000017</v>
      </c>
      <c r="H51" s="543">
        <f>'Аян '!H21</f>
        <v>1278.4070200000001</v>
      </c>
      <c r="I51" s="543">
        <f>'Аян '!I21</f>
        <v>129.32012422108926</v>
      </c>
      <c r="J51" s="103"/>
      <c r="L51" s="727"/>
    </row>
    <row r="52" spans="1:185" ht="30" x14ac:dyDescent="0.25">
      <c r="A52" s="116" t="s">
        <v>79</v>
      </c>
      <c r="B52" s="56">
        <f>'Аян '!B22</f>
        <v>323</v>
      </c>
      <c r="C52" s="56">
        <f>'Аян '!C22</f>
        <v>215</v>
      </c>
      <c r="D52" s="56">
        <f>'Аян '!D22</f>
        <v>236</v>
      </c>
      <c r="E52" s="184">
        <f>'Аян '!E22</f>
        <v>109.76744186046513</v>
      </c>
      <c r="F52" s="62">
        <f>'Аян '!F22</f>
        <v>711.52359999999999</v>
      </c>
      <c r="G52" s="62">
        <f>'Аян '!G22</f>
        <v>474.35</v>
      </c>
      <c r="H52" s="62">
        <f>'Аян '!H22</f>
        <v>542.33627000000001</v>
      </c>
      <c r="I52" s="62">
        <f>'Аян '!I22</f>
        <v>114.33251185833244</v>
      </c>
      <c r="J52" s="103"/>
      <c r="L52" s="727"/>
    </row>
    <row r="53" spans="1:185" ht="30" x14ac:dyDescent="0.25">
      <c r="A53" s="116" t="s">
        <v>80</v>
      </c>
      <c r="B53" s="56">
        <f>'Аян '!B23</f>
        <v>131</v>
      </c>
      <c r="C53" s="56">
        <f>'Аян '!C23</f>
        <v>87</v>
      </c>
      <c r="D53" s="56">
        <f>'Аян '!D23</f>
        <v>125</v>
      </c>
      <c r="E53" s="184">
        <f>'Аян '!E23</f>
        <v>143.67816091954023</v>
      </c>
      <c r="F53" s="62">
        <f>'Аян '!F23</f>
        <v>327.08008000000001</v>
      </c>
      <c r="G53" s="62">
        <f>'Аян '!G23</f>
        <v>218.05</v>
      </c>
      <c r="H53" s="62">
        <f>'Аян '!H23</f>
        <v>309.26213000000001</v>
      </c>
      <c r="I53" s="62">
        <f>'Аян '!I23</f>
        <v>141.83083237789498</v>
      </c>
      <c r="J53" s="103"/>
      <c r="L53" s="727"/>
    </row>
    <row r="54" spans="1:185" ht="45" x14ac:dyDescent="0.25">
      <c r="A54" s="116" t="s">
        <v>99</v>
      </c>
      <c r="B54" s="56">
        <f>'Аян '!B24</f>
        <v>8</v>
      </c>
      <c r="C54" s="56">
        <f>'Аян '!C24</f>
        <v>5</v>
      </c>
      <c r="D54" s="56">
        <f>'Аян '!D24</f>
        <v>17</v>
      </c>
      <c r="E54" s="184">
        <f>'Аян '!E24</f>
        <v>340</v>
      </c>
      <c r="F54" s="62">
        <f>'Аян '!F24</f>
        <v>69.683000000000007</v>
      </c>
      <c r="G54" s="62">
        <f>'Аян '!G24</f>
        <v>46.46</v>
      </c>
      <c r="H54" s="62">
        <f>'Аян '!H24</f>
        <v>148.07646</v>
      </c>
      <c r="I54" s="62">
        <f>'Аян '!I24</f>
        <v>318.71816616444255</v>
      </c>
      <c r="J54" s="103"/>
      <c r="L54" s="727"/>
    </row>
    <row r="55" spans="1:185" ht="30" x14ac:dyDescent="0.25">
      <c r="A55" s="116" t="s">
        <v>100</v>
      </c>
      <c r="B55" s="56">
        <f>'Аян '!B25</f>
        <v>43</v>
      </c>
      <c r="C55" s="56">
        <f>'Аян '!C25</f>
        <v>29</v>
      </c>
      <c r="D55" s="56">
        <f>'Аян '!D25</f>
        <v>32</v>
      </c>
      <c r="E55" s="184">
        <f>'Аян '!E25</f>
        <v>110.34482758620689</v>
      </c>
      <c r="F55" s="62">
        <f>'Аян '!F25</f>
        <v>374.54629999999997</v>
      </c>
      <c r="G55" s="62">
        <f>'Аян '!G25</f>
        <v>249.7</v>
      </c>
      <c r="H55" s="62">
        <f>'Аян '!H25</f>
        <v>278.73215999999996</v>
      </c>
      <c r="I55" s="62">
        <f>'Аян '!I25</f>
        <v>111.6268161794153</v>
      </c>
      <c r="J55" s="103"/>
      <c r="L55" s="727"/>
    </row>
    <row r="56" spans="1:185" ht="30" x14ac:dyDescent="0.25">
      <c r="A56" s="542" t="s">
        <v>112</v>
      </c>
      <c r="B56" s="580">
        <f>'Аян '!B26</f>
        <v>961</v>
      </c>
      <c r="C56" s="580">
        <f>'Аян '!C26</f>
        <v>640</v>
      </c>
      <c r="D56" s="580">
        <f>'Аян '!D26</f>
        <v>397</v>
      </c>
      <c r="E56" s="581">
        <f>'Аян '!E26</f>
        <v>62.031250000000007</v>
      </c>
      <c r="F56" s="543">
        <f>'Аян '!F26</f>
        <v>2584.9690000000001</v>
      </c>
      <c r="G56" s="543">
        <f>'Аян '!G26</f>
        <v>1723.3100000000002</v>
      </c>
      <c r="H56" s="543">
        <f>'Аян '!H26</f>
        <v>1272.2520399999999</v>
      </c>
      <c r="I56" s="543">
        <f>'Аян '!I26</f>
        <v>73.826069598621245</v>
      </c>
      <c r="J56" s="103"/>
      <c r="L56" s="727"/>
    </row>
    <row r="57" spans="1:185" ht="30" x14ac:dyDescent="0.25">
      <c r="A57" s="116" t="s">
        <v>108</v>
      </c>
      <c r="B57" s="56">
        <f>'Аян '!B27</f>
        <v>200</v>
      </c>
      <c r="C57" s="56">
        <f>'Аян '!C27</f>
        <v>133</v>
      </c>
      <c r="D57" s="56">
        <f>'Аян '!D27</f>
        <v>102</v>
      </c>
      <c r="E57" s="184">
        <f>'Аян '!E27</f>
        <v>76.691729323308266</v>
      </c>
      <c r="F57" s="62">
        <f>'Аян '!F27</f>
        <v>542.94600000000003</v>
      </c>
      <c r="G57" s="62">
        <f>'Аян '!G27</f>
        <v>361.96</v>
      </c>
      <c r="H57" s="62">
        <f>'Аян '!H27</f>
        <v>279.61536000000001</v>
      </c>
      <c r="I57" s="62">
        <f>'Аян '!I27</f>
        <v>77.250348104762963</v>
      </c>
      <c r="J57" s="103"/>
      <c r="L57" s="727"/>
    </row>
    <row r="58" spans="1:185" ht="60" x14ac:dyDescent="0.25">
      <c r="A58" s="116" t="s">
        <v>81</v>
      </c>
      <c r="B58" s="56">
        <f>'Аян '!B28</f>
        <v>551</v>
      </c>
      <c r="C58" s="56">
        <f>'Аян '!C28</f>
        <v>367</v>
      </c>
      <c r="D58" s="56">
        <f>'Аян '!D28</f>
        <v>241</v>
      </c>
      <c r="E58" s="184">
        <f>'Аян '!E28</f>
        <v>65.667574931880111</v>
      </c>
      <c r="F58" s="62">
        <f>'Аян '!F28</f>
        <v>1828.8025</v>
      </c>
      <c r="G58" s="62">
        <f>'Аян '!G28</f>
        <v>1219.2</v>
      </c>
      <c r="H58" s="62">
        <f>'Аян '!H28</f>
        <v>925.32779999999991</v>
      </c>
      <c r="I58" s="62">
        <f>'Аян '!I28</f>
        <v>75.89630905511811</v>
      </c>
      <c r="J58" s="103"/>
      <c r="L58" s="727"/>
    </row>
    <row r="59" spans="1:185" ht="45" x14ac:dyDescent="0.25">
      <c r="A59" s="116" t="s">
        <v>109</v>
      </c>
      <c r="B59" s="56">
        <f>'Аян '!B29</f>
        <v>210</v>
      </c>
      <c r="C59" s="56">
        <f>'Аян '!C29</f>
        <v>140</v>
      </c>
      <c r="D59" s="56">
        <f>'Аян '!D29</f>
        <v>54</v>
      </c>
      <c r="E59" s="184">
        <f>'Аян '!E29</f>
        <v>38.571428571428577</v>
      </c>
      <c r="F59" s="62">
        <f>'Аян '!F29</f>
        <v>213.22049999999999</v>
      </c>
      <c r="G59" s="62">
        <f>'Аян '!G29</f>
        <v>142.15</v>
      </c>
      <c r="H59" s="62">
        <f>'Аян '!H29</f>
        <v>67.308880000000002</v>
      </c>
      <c r="I59" s="62">
        <f>'Аян '!I29</f>
        <v>47.350601477312701</v>
      </c>
      <c r="J59" s="103"/>
      <c r="L59" s="727"/>
    </row>
    <row r="60" spans="1:185" ht="30.75" thickBot="1" x14ac:dyDescent="0.3">
      <c r="A60" s="658" t="s">
        <v>123</v>
      </c>
      <c r="B60" s="553">
        <f>'Аян '!B30</f>
        <v>2800</v>
      </c>
      <c r="C60" s="553">
        <f>'Аян '!C30</f>
        <v>1867</v>
      </c>
      <c r="D60" s="553">
        <f>'Аян '!D30</f>
        <v>1967</v>
      </c>
      <c r="E60" s="554">
        <f>'Аян '!E30</f>
        <v>105.35618639528657</v>
      </c>
      <c r="F60" s="546">
        <f>'Аян '!F30</f>
        <v>3617.152</v>
      </c>
      <c r="G60" s="546">
        <f>'Аян '!G30</f>
        <v>2411.4299999999998</v>
      </c>
      <c r="H60" s="546">
        <f>'Аян '!H30</f>
        <v>2537.1614499999996</v>
      </c>
      <c r="I60" s="546">
        <f>'Аян '!I30</f>
        <v>105.21397884242958</v>
      </c>
      <c r="J60" s="103"/>
      <c r="K60" s="103"/>
      <c r="L60" s="103"/>
    </row>
    <row r="61" spans="1:185" ht="15.75" thickBot="1" x14ac:dyDescent="0.3">
      <c r="A61" s="548" t="s">
        <v>4</v>
      </c>
      <c r="B61" s="555">
        <f>'Аян '!B31</f>
        <v>0</v>
      </c>
      <c r="C61" s="555">
        <f>'Аян '!C31</f>
        <v>0</v>
      </c>
      <c r="D61" s="555">
        <f>'Аян '!D31</f>
        <v>0</v>
      </c>
      <c r="E61" s="556">
        <f>'Аян '!E31</f>
        <v>0</v>
      </c>
      <c r="F61" s="551">
        <f>'Аян '!F31</f>
        <v>7684.9539800000002</v>
      </c>
      <c r="G61" s="551">
        <f>'Аян '!G31</f>
        <v>5123.3</v>
      </c>
      <c r="H61" s="551">
        <f>'Аян '!H31</f>
        <v>5087.8205099999996</v>
      </c>
      <c r="I61" s="551">
        <f>'Аян '!I31</f>
        <v>99.307487556848116</v>
      </c>
      <c r="J61" s="103"/>
      <c r="L61" s="727"/>
    </row>
    <row r="62" spans="1:185" ht="15" customHeight="1" x14ac:dyDescent="0.25">
      <c r="A62" s="96" t="s">
        <v>19</v>
      </c>
      <c r="B62" s="97"/>
      <c r="C62" s="97"/>
      <c r="D62" s="97"/>
      <c r="E62" s="183"/>
      <c r="F62" s="98"/>
      <c r="G62" s="98"/>
      <c r="H62" s="98"/>
      <c r="I62" s="98"/>
      <c r="J62" s="103"/>
      <c r="L62" s="727"/>
    </row>
    <row r="63" spans="1:185" ht="30" x14ac:dyDescent="0.25">
      <c r="A63" s="542" t="s">
        <v>120</v>
      </c>
      <c r="B63" s="539">
        <f>'1 уровень'!C271</f>
        <v>2987</v>
      </c>
      <c r="C63" s="539">
        <f>'1 уровень'!D271</f>
        <v>1992</v>
      </c>
      <c r="D63" s="539">
        <f>'1 уровень'!E271</f>
        <v>2410</v>
      </c>
      <c r="E63" s="540">
        <f>'1 уровень'!F271</f>
        <v>120.98393574297188</v>
      </c>
      <c r="F63" s="543">
        <f>'1 уровень'!G271</f>
        <v>5092.2485500000003</v>
      </c>
      <c r="G63" s="543">
        <f>'1 уровень'!H271</f>
        <v>3394.8399999999997</v>
      </c>
      <c r="H63" s="543">
        <f>'1 уровень'!I271</f>
        <v>3694.8194199999994</v>
      </c>
      <c r="I63" s="543">
        <f>'1 уровень'!J271</f>
        <v>108.83633455479492</v>
      </c>
      <c r="J63" s="103"/>
      <c r="L63" s="727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/>
      <c r="BF63" s="45"/>
      <c r="BG63" s="45"/>
      <c r="BH63" s="45"/>
      <c r="BI63" s="45"/>
      <c r="BJ63" s="45"/>
      <c r="BK63" s="45"/>
      <c r="BL63" s="45"/>
      <c r="BM63" s="45"/>
      <c r="BN63" s="45"/>
      <c r="BO63" s="45"/>
      <c r="BP63" s="45"/>
      <c r="BQ63" s="45"/>
      <c r="BR63" s="45"/>
      <c r="BS63" s="45"/>
      <c r="BT63" s="45"/>
      <c r="BU63" s="45"/>
      <c r="BV63" s="45"/>
      <c r="BW63" s="45"/>
      <c r="BX63" s="45"/>
      <c r="BY63" s="45"/>
      <c r="BZ63" s="45"/>
      <c r="CA63" s="45"/>
      <c r="CB63" s="45"/>
      <c r="CC63" s="45"/>
      <c r="CD63" s="45"/>
      <c r="CE63" s="45"/>
      <c r="CF63" s="45"/>
      <c r="CG63" s="45"/>
      <c r="CH63" s="45"/>
      <c r="CI63" s="45"/>
      <c r="CJ63" s="45"/>
      <c r="CK63" s="45"/>
      <c r="CL63" s="45"/>
      <c r="CM63" s="45"/>
      <c r="CN63" s="45"/>
      <c r="CO63" s="45"/>
      <c r="CP63" s="45"/>
      <c r="CQ63" s="45"/>
      <c r="CR63" s="45"/>
      <c r="CS63" s="45"/>
      <c r="CT63" s="45"/>
      <c r="CU63" s="45"/>
      <c r="CV63" s="45"/>
      <c r="CW63" s="45"/>
      <c r="CX63" s="45"/>
      <c r="CY63" s="45"/>
      <c r="CZ63" s="45"/>
      <c r="DA63" s="45"/>
      <c r="DB63" s="45"/>
      <c r="DC63" s="45"/>
      <c r="DD63" s="45"/>
      <c r="DE63" s="45"/>
      <c r="DF63" s="45"/>
      <c r="DG63" s="45"/>
      <c r="DH63" s="45"/>
      <c r="DI63" s="45"/>
      <c r="DJ63" s="45"/>
      <c r="DK63" s="45"/>
      <c r="DL63" s="45"/>
      <c r="DM63" s="45"/>
      <c r="DN63" s="45"/>
      <c r="DO63" s="45"/>
      <c r="DP63" s="45"/>
      <c r="DQ63" s="45"/>
      <c r="DR63" s="45"/>
      <c r="DS63" s="45"/>
      <c r="DT63" s="45"/>
      <c r="DU63" s="45"/>
      <c r="DV63" s="45"/>
      <c r="DW63" s="45"/>
      <c r="DX63" s="45"/>
      <c r="DY63" s="45"/>
      <c r="DZ63" s="45"/>
      <c r="EA63" s="45"/>
      <c r="EB63" s="45"/>
      <c r="EC63" s="45"/>
      <c r="ED63" s="45"/>
      <c r="EE63" s="45"/>
      <c r="EF63" s="45"/>
      <c r="EG63" s="45"/>
      <c r="EH63" s="45"/>
      <c r="EI63" s="45"/>
      <c r="EJ63" s="45"/>
      <c r="EK63" s="45"/>
      <c r="EL63" s="45"/>
      <c r="EM63" s="45"/>
      <c r="EN63" s="45"/>
      <c r="EO63" s="45"/>
      <c r="EP63" s="45"/>
      <c r="EQ63" s="45"/>
      <c r="ER63" s="45"/>
      <c r="ES63" s="45"/>
      <c r="ET63" s="45"/>
      <c r="EU63" s="45"/>
      <c r="EV63" s="45"/>
      <c r="EW63" s="45"/>
      <c r="EX63" s="45"/>
      <c r="EY63" s="45"/>
      <c r="EZ63" s="45"/>
      <c r="FA63" s="45"/>
      <c r="FB63" s="45"/>
      <c r="FC63" s="45"/>
      <c r="FD63" s="45"/>
      <c r="FE63" s="45"/>
      <c r="FF63" s="45"/>
      <c r="FG63" s="45"/>
      <c r="FH63" s="45"/>
      <c r="FI63" s="45"/>
      <c r="FJ63" s="45"/>
      <c r="FK63" s="45"/>
      <c r="FL63" s="45"/>
      <c r="FM63" s="45"/>
      <c r="FN63" s="45"/>
      <c r="FO63" s="45"/>
      <c r="FP63" s="45"/>
      <c r="FQ63" s="45"/>
      <c r="FR63" s="45"/>
      <c r="FS63" s="45"/>
      <c r="FT63" s="45"/>
      <c r="FU63" s="45"/>
      <c r="FV63" s="45"/>
      <c r="FW63" s="45"/>
      <c r="FX63" s="45"/>
      <c r="FY63" s="45"/>
      <c r="FZ63" s="45"/>
      <c r="GA63" s="45"/>
      <c r="GB63" s="45"/>
      <c r="GC63" s="45"/>
    </row>
    <row r="64" spans="1:185" ht="30" x14ac:dyDescent="0.25">
      <c r="A64" s="116" t="s">
        <v>79</v>
      </c>
      <c r="B64" s="49">
        <f>'1 уровень'!C272</f>
        <v>2121</v>
      </c>
      <c r="C64" s="49">
        <f>'1 уровень'!D272</f>
        <v>1414</v>
      </c>
      <c r="D64" s="49">
        <f>'1 уровень'!E272</f>
        <v>1459</v>
      </c>
      <c r="E64" s="180">
        <f>'1 уровень'!F272</f>
        <v>103.18246110325317</v>
      </c>
      <c r="F64" s="62">
        <f>'1 уровень'!G272</f>
        <v>2919.2939999999999</v>
      </c>
      <c r="G64" s="62">
        <f>'1 уровень'!H272</f>
        <v>1946.2</v>
      </c>
      <c r="H64" s="62">
        <f>'1 уровень'!I272</f>
        <v>1614.3741299999997</v>
      </c>
      <c r="I64" s="62">
        <f>'1 уровень'!J272</f>
        <v>82.950063200082198</v>
      </c>
      <c r="J64" s="103"/>
      <c r="L64" s="727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  <c r="BL64" s="45"/>
      <c r="BM64" s="45"/>
      <c r="BN64" s="45"/>
      <c r="BO64" s="45"/>
      <c r="BP64" s="45"/>
      <c r="BQ64" s="45"/>
      <c r="BR64" s="45"/>
      <c r="BS64" s="45"/>
      <c r="BT64" s="45"/>
      <c r="BU64" s="45"/>
      <c r="BV64" s="45"/>
      <c r="BW64" s="45"/>
      <c r="BX64" s="45"/>
      <c r="BY64" s="45"/>
      <c r="BZ64" s="45"/>
      <c r="CA64" s="45"/>
      <c r="CB64" s="45"/>
      <c r="CC64" s="45"/>
      <c r="CD64" s="45"/>
      <c r="CE64" s="45"/>
      <c r="CF64" s="45"/>
      <c r="CG64" s="45"/>
      <c r="CH64" s="45"/>
      <c r="CI64" s="45"/>
      <c r="CJ64" s="45"/>
      <c r="CK64" s="45"/>
      <c r="CL64" s="45"/>
      <c r="CM64" s="45"/>
      <c r="CN64" s="45"/>
      <c r="CO64" s="45"/>
      <c r="CP64" s="45"/>
      <c r="CQ64" s="45"/>
      <c r="CR64" s="45"/>
      <c r="CS64" s="45"/>
      <c r="CT64" s="45"/>
      <c r="CU64" s="45"/>
      <c r="CV64" s="45"/>
      <c r="CW64" s="45"/>
      <c r="CX64" s="45"/>
      <c r="CY64" s="45"/>
      <c r="CZ64" s="45"/>
      <c r="DA64" s="45"/>
      <c r="DB64" s="45"/>
      <c r="DC64" s="45"/>
      <c r="DD64" s="45"/>
      <c r="DE64" s="45"/>
      <c r="DF64" s="45"/>
      <c r="DG64" s="45"/>
      <c r="DH64" s="45"/>
      <c r="DI64" s="45"/>
      <c r="DJ64" s="45"/>
      <c r="DK64" s="45"/>
      <c r="DL64" s="45"/>
      <c r="DM64" s="45"/>
      <c r="DN64" s="45"/>
      <c r="DO64" s="45"/>
      <c r="DP64" s="45"/>
      <c r="DQ64" s="45"/>
      <c r="DR64" s="45"/>
      <c r="DS64" s="45"/>
      <c r="DT64" s="45"/>
      <c r="DU64" s="45"/>
      <c r="DV64" s="45"/>
      <c r="DW64" s="45"/>
      <c r="DX64" s="45"/>
      <c r="DY64" s="45"/>
      <c r="DZ64" s="45"/>
      <c r="EA64" s="45"/>
      <c r="EB64" s="45"/>
      <c r="EC64" s="45"/>
      <c r="ED64" s="45"/>
      <c r="EE64" s="45"/>
      <c r="EF64" s="45"/>
      <c r="EG64" s="45"/>
      <c r="EH64" s="45"/>
      <c r="EI64" s="45"/>
      <c r="EJ64" s="45"/>
      <c r="EK64" s="45"/>
      <c r="EL64" s="45"/>
      <c r="EM64" s="45"/>
      <c r="EN64" s="45"/>
      <c r="EO64" s="45"/>
      <c r="EP64" s="45"/>
      <c r="EQ64" s="45"/>
      <c r="ER64" s="45"/>
      <c r="ES64" s="45"/>
      <c r="ET64" s="45"/>
      <c r="EU64" s="45"/>
      <c r="EV64" s="45"/>
      <c r="EW64" s="45"/>
      <c r="EX64" s="45"/>
      <c r="EY64" s="45"/>
      <c r="EZ64" s="45"/>
      <c r="FA64" s="45"/>
      <c r="FB64" s="45"/>
      <c r="FC64" s="45"/>
      <c r="FD64" s="45"/>
      <c r="FE64" s="45"/>
      <c r="FF64" s="45"/>
      <c r="FG64" s="45"/>
      <c r="FH64" s="45"/>
      <c r="FI64" s="45"/>
      <c r="FJ64" s="45"/>
      <c r="FK64" s="45"/>
      <c r="FL64" s="45"/>
      <c r="FM64" s="45"/>
      <c r="FN64" s="45"/>
      <c r="FO64" s="45"/>
      <c r="FP64" s="45"/>
      <c r="FQ64" s="45"/>
      <c r="FR64" s="45"/>
      <c r="FS64" s="45"/>
      <c r="FT64" s="45"/>
      <c r="FU64" s="45"/>
      <c r="FV64" s="45"/>
      <c r="FW64" s="45"/>
      <c r="FX64" s="45"/>
      <c r="FY64" s="45"/>
      <c r="FZ64" s="45"/>
      <c r="GA64" s="45"/>
      <c r="GB64" s="45"/>
      <c r="GC64" s="45"/>
    </row>
    <row r="65" spans="1:185" ht="30" x14ac:dyDescent="0.25">
      <c r="A65" s="116" t="s">
        <v>80</v>
      </c>
      <c r="B65" s="49">
        <f>'1 уровень'!C273</f>
        <v>636</v>
      </c>
      <c r="C65" s="49">
        <f>'1 уровень'!D273</f>
        <v>424</v>
      </c>
      <c r="D65" s="49">
        <f>'1 уровень'!E273</f>
        <v>749</v>
      </c>
      <c r="E65" s="180">
        <f>'1 уровень'!F273</f>
        <v>176.65094339622641</v>
      </c>
      <c r="F65" s="62">
        <f>'1 уровень'!G273</f>
        <v>915.22255000000007</v>
      </c>
      <c r="G65" s="62">
        <f>'1 уровень'!H273</f>
        <v>610.15</v>
      </c>
      <c r="H65" s="62">
        <f>'1 уровень'!I273</f>
        <v>975.82848999999987</v>
      </c>
      <c r="I65" s="62">
        <f>'1 уровень'!J273</f>
        <v>159.93255592886996</v>
      </c>
      <c r="J65" s="103"/>
      <c r="L65" s="727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BM65" s="45"/>
      <c r="BN65" s="45"/>
      <c r="BO65" s="45"/>
      <c r="BP65" s="45"/>
      <c r="BQ65" s="45"/>
      <c r="BR65" s="45"/>
      <c r="BS65" s="45"/>
      <c r="BT65" s="45"/>
      <c r="BU65" s="45"/>
      <c r="BV65" s="45"/>
      <c r="BW65" s="45"/>
      <c r="BX65" s="45"/>
      <c r="BY65" s="45"/>
      <c r="BZ65" s="45"/>
      <c r="CA65" s="45"/>
      <c r="CB65" s="45"/>
      <c r="CC65" s="45"/>
      <c r="CD65" s="45"/>
      <c r="CE65" s="45"/>
      <c r="CF65" s="45"/>
      <c r="CG65" s="45"/>
      <c r="CH65" s="45"/>
      <c r="CI65" s="45"/>
      <c r="CJ65" s="45"/>
      <c r="CK65" s="45"/>
      <c r="CL65" s="45"/>
      <c r="CM65" s="45"/>
      <c r="CN65" s="45"/>
      <c r="CO65" s="45"/>
      <c r="CP65" s="45"/>
      <c r="CQ65" s="45"/>
      <c r="CR65" s="45"/>
      <c r="CS65" s="45"/>
      <c r="CT65" s="45"/>
      <c r="CU65" s="45"/>
      <c r="CV65" s="45"/>
      <c r="CW65" s="45"/>
      <c r="CX65" s="45"/>
      <c r="CY65" s="45"/>
      <c r="CZ65" s="45"/>
      <c r="DA65" s="45"/>
      <c r="DB65" s="45"/>
      <c r="DC65" s="45"/>
      <c r="DD65" s="45"/>
      <c r="DE65" s="45"/>
      <c r="DF65" s="45"/>
      <c r="DG65" s="45"/>
      <c r="DH65" s="45"/>
      <c r="DI65" s="45"/>
      <c r="DJ65" s="45"/>
      <c r="DK65" s="45"/>
      <c r="DL65" s="45"/>
      <c r="DM65" s="45"/>
      <c r="DN65" s="45"/>
      <c r="DO65" s="45"/>
      <c r="DP65" s="45"/>
      <c r="DQ65" s="45"/>
      <c r="DR65" s="45"/>
      <c r="DS65" s="45"/>
      <c r="DT65" s="45"/>
      <c r="DU65" s="45"/>
      <c r="DV65" s="45"/>
      <c r="DW65" s="45"/>
      <c r="DX65" s="45"/>
      <c r="DY65" s="45"/>
      <c r="DZ65" s="45"/>
      <c r="EA65" s="45"/>
      <c r="EB65" s="45"/>
      <c r="EC65" s="45"/>
      <c r="ED65" s="45"/>
      <c r="EE65" s="45"/>
      <c r="EF65" s="45"/>
      <c r="EG65" s="45"/>
      <c r="EH65" s="45"/>
      <c r="EI65" s="45"/>
      <c r="EJ65" s="45"/>
      <c r="EK65" s="45"/>
      <c r="EL65" s="45"/>
      <c r="EM65" s="45"/>
      <c r="EN65" s="45"/>
      <c r="EO65" s="45"/>
      <c r="EP65" s="45"/>
      <c r="EQ65" s="45"/>
      <c r="ER65" s="45"/>
      <c r="ES65" s="45"/>
      <c r="ET65" s="45"/>
      <c r="EU65" s="45"/>
      <c r="EV65" s="45"/>
      <c r="EW65" s="45"/>
      <c r="EX65" s="45"/>
      <c r="EY65" s="45"/>
      <c r="EZ65" s="45"/>
      <c r="FA65" s="45"/>
      <c r="FB65" s="45"/>
      <c r="FC65" s="45"/>
      <c r="FD65" s="45"/>
      <c r="FE65" s="45"/>
      <c r="FF65" s="45"/>
      <c r="FG65" s="45"/>
      <c r="FH65" s="45"/>
      <c r="FI65" s="45"/>
      <c r="FJ65" s="45"/>
      <c r="FK65" s="45"/>
      <c r="FL65" s="45"/>
      <c r="FM65" s="45"/>
      <c r="FN65" s="45"/>
      <c r="FO65" s="45"/>
      <c r="FP65" s="45"/>
      <c r="FQ65" s="45"/>
      <c r="FR65" s="45"/>
      <c r="FS65" s="45"/>
      <c r="FT65" s="45"/>
      <c r="FU65" s="45"/>
      <c r="FV65" s="45"/>
      <c r="FW65" s="45"/>
      <c r="FX65" s="45"/>
      <c r="FY65" s="45"/>
      <c r="FZ65" s="45"/>
      <c r="GA65" s="45"/>
      <c r="GB65" s="45"/>
      <c r="GC65" s="45"/>
    </row>
    <row r="66" spans="1:185" ht="45" x14ac:dyDescent="0.25">
      <c r="A66" s="116" t="s">
        <v>110</v>
      </c>
      <c r="B66" s="49">
        <f>'1 уровень'!C274</f>
        <v>130</v>
      </c>
      <c r="C66" s="49">
        <f>'1 уровень'!D274</f>
        <v>87</v>
      </c>
      <c r="D66" s="49">
        <f>'1 уровень'!E274</f>
        <v>101</v>
      </c>
      <c r="E66" s="180">
        <f>'1 уровень'!F274</f>
        <v>116.0919540229885</v>
      </c>
      <c r="F66" s="62">
        <f>'1 уровень'!G274</f>
        <v>710.89200000000005</v>
      </c>
      <c r="G66" s="62">
        <f>'1 уровень'!H274</f>
        <v>473.93</v>
      </c>
      <c r="H66" s="62">
        <f>'1 уровень'!I274</f>
        <v>552.30840000000001</v>
      </c>
      <c r="I66" s="62">
        <f>'1 уровень'!J274</f>
        <v>116.53796974236701</v>
      </c>
      <c r="J66" s="103"/>
      <c r="L66" s="727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BM66" s="45"/>
      <c r="BN66" s="45"/>
      <c r="BO66" s="45"/>
      <c r="BP66" s="45"/>
      <c r="BQ66" s="45"/>
      <c r="BR66" s="45"/>
      <c r="BS66" s="45"/>
      <c r="BT66" s="45"/>
      <c r="BU66" s="45"/>
      <c r="BV66" s="45"/>
      <c r="BW66" s="45"/>
      <c r="BX66" s="45"/>
      <c r="BY66" s="45"/>
      <c r="BZ66" s="45"/>
      <c r="CA66" s="45"/>
      <c r="CB66" s="45"/>
      <c r="CC66" s="45"/>
      <c r="CD66" s="45"/>
      <c r="CE66" s="45"/>
      <c r="CF66" s="45"/>
      <c r="CG66" s="45"/>
      <c r="CH66" s="45"/>
      <c r="CI66" s="45"/>
      <c r="CJ66" s="45"/>
      <c r="CK66" s="45"/>
      <c r="CL66" s="45"/>
      <c r="CM66" s="45"/>
      <c r="CN66" s="45"/>
      <c r="CO66" s="45"/>
      <c r="CP66" s="45"/>
      <c r="CQ66" s="45"/>
      <c r="CR66" s="45"/>
      <c r="CS66" s="45"/>
      <c r="CT66" s="45"/>
      <c r="CU66" s="45"/>
      <c r="CV66" s="45"/>
      <c r="CW66" s="45"/>
      <c r="CX66" s="45"/>
      <c r="CY66" s="45"/>
      <c r="CZ66" s="45"/>
      <c r="DA66" s="45"/>
      <c r="DB66" s="45"/>
      <c r="DC66" s="45"/>
      <c r="DD66" s="45"/>
      <c r="DE66" s="45"/>
      <c r="DF66" s="45"/>
      <c r="DG66" s="45"/>
      <c r="DH66" s="45"/>
      <c r="DI66" s="45"/>
      <c r="DJ66" s="45"/>
      <c r="DK66" s="45"/>
      <c r="DL66" s="45"/>
      <c r="DM66" s="45"/>
      <c r="DN66" s="45"/>
      <c r="DO66" s="45"/>
      <c r="DP66" s="45"/>
      <c r="DQ66" s="45"/>
      <c r="DR66" s="45"/>
      <c r="DS66" s="45"/>
      <c r="DT66" s="45"/>
      <c r="DU66" s="45"/>
      <c r="DV66" s="45"/>
      <c r="DW66" s="45"/>
      <c r="DX66" s="45"/>
      <c r="DY66" s="45"/>
      <c r="DZ66" s="45"/>
      <c r="EA66" s="45"/>
      <c r="EB66" s="45"/>
      <c r="EC66" s="45"/>
      <c r="ED66" s="45"/>
      <c r="EE66" s="45"/>
      <c r="EF66" s="45"/>
      <c r="EG66" s="45"/>
      <c r="EH66" s="45"/>
      <c r="EI66" s="45"/>
      <c r="EJ66" s="45"/>
      <c r="EK66" s="45"/>
      <c r="EL66" s="45"/>
      <c r="EM66" s="45"/>
      <c r="EN66" s="45"/>
      <c r="EO66" s="45"/>
      <c r="EP66" s="45"/>
      <c r="EQ66" s="45"/>
      <c r="ER66" s="45"/>
      <c r="ES66" s="45"/>
      <c r="ET66" s="45"/>
      <c r="EU66" s="45"/>
      <c r="EV66" s="45"/>
      <c r="EW66" s="45"/>
      <c r="EX66" s="45"/>
      <c r="EY66" s="45"/>
      <c r="EZ66" s="45"/>
      <c r="FA66" s="45"/>
      <c r="FB66" s="45"/>
      <c r="FC66" s="45"/>
      <c r="FD66" s="45"/>
      <c r="FE66" s="45"/>
      <c r="FF66" s="45"/>
      <c r="FG66" s="45"/>
      <c r="FH66" s="45"/>
      <c r="FI66" s="45"/>
      <c r="FJ66" s="45"/>
      <c r="FK66" s="45"/>
      <c r="FL66" s="45"/>
      <c r="FM66" s="45"/>
      <c r="FN66" s="45"/>
      <c r="FO66" s="45"/>
      <c r="FP66" s="45"/>
      <c r="FQ66" s="45"/>
      <c r="FR66" s="45"/>
      <c r="FS66" s="45"/>
      <c r="FT66" s="45"/>
      <c r="FU66" s="45"/>
      <c r="FV66" s="45"/>
      <c r="FW66" s="45"/>
      <c r="FX66" s="45"/>
      <c r="FY66" s="45"/>
      <c r="FZ66" s="45"/>
      <c r="GA66" s="45"/>
      <c r="GB66" s="45"/>
      <c r="GC66" s="45"/>
    </row>
    <row r="67" spans="1:185" s="45" customFormat="1" ht="30" x14ac:dyDescent="0.25">
      <c r="A67" s="116" t="s">
        <v>111</v>
      </c>
      <c r="B67" s="69">
        <f>'1 уровень'!C275</f>
        <v>100</v>
      </c>
      <c r="C67" s="69">
        <f>'1 уровень'!D275</f>
        <v>67</v>
      </c>
      <c r="D67" s="69">
        <f>'1 уровень'!E275</f>
        <v>101</v>
      </c>
      <c r="E67" s="186">
        <f>'1 уровень'!F275</f>
        <v>150.74626865671641</v>
      </c>
      <c r="F67" s="698">
        <f>'1 уровень'!G275</f>
        <v>546.84</v>
      </c>
      <c r="G67" s="698">
        <f>'1 уровень'!H275</f>
        <v>364.56</v>
      </c>
      <c r="H67" s="698">
        <f>'1 уровень'!I275</f>
        <v>552.30840000000001</v>
      </c>
      <c r="I67" s="698">
        <f>'1 уровень'!J275</f>
        <v>151.5</v>
      </c>
      <c r="J67" s="103"/>
      <c r="K67" s="726"/>
      <c r="L67" s="727"/>
    </row>
    <row r="68" spans="1:185" ht="30" x14ac:dyDescent="0.25">
      <c r="A68" s="542" t="s">
        <v>112</v>
      </c>
      <c r="B68" s="539">
        <f>'1 уровень'!C276</f>
        <v>6270</v>
      </c>
      <c r="C68" s="539">
        <f>'1 уровень'!D276</f>
        <v>4180</v>
      </c>
      <c r="D68" s="539">
        <f>'1 уровень'!E276</f>
        <v>976</v>
      </c>
      <c r="E68" s="540">
        <f>'1 уровень'!F276</f>
        <v>23.349282296650717</v>
      </c>
      <c r="F68" s="543">
        <f>'1 уровень'!G276</f>
        <v>11715.552</v>
      </c>
      <c r="G68" s="543">
        <f>'1 уровень'!H276</f>
        <v>7810.37</v>
      </c>
      <c r="H68" s="543">
        <f>'1 уровень'!I276</f>
        <v>1198.48614</v>
      </c>
      <c r="I68" s="543">
        <f>'1 уровень'!J276</f>
        <v>15.344806199962358</v>
      </c>
      <c r="J68" s="103"/>
      <c r="L68" s="727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BM68" s="45"/>
      <c r="BN68" s="45"/>
      <c r="BO68" s="45"/>
      <c r="BP68" s="45"/>
      <c r="BQ68" s="45"/>
      <c r="BR68" s="45"/>
      <c r="BS68" s="45"/>
      <c r="BT68" s="45"/>
      <c r="BU68" s="45"/>
      <c r="BV68" s="45"/>
      <c r="BW68" s="45"/>
      <c r="BX68" s="45"/>
      <c r="BY68" s="45"/>
      <c r="BZ68" s="45"/>
      <c r="CA68" s="45"/>
      <c r="CB68" s="45"/>
      <c r="CC68" s="45"/>
      <c r="CD68" s="45"/>
      <c r="CE68" s="45"/>
      <c r="CF68" s="45"/>
      <c r="CG68" s="45"/>
      <c r="CH68" s="45"/>
      <c r="CI68" s="45"/>
      <c r="CJ68" s="45"/>
      <c r="CK68" s="45"/>
      <c r="CL68" s="45"/>
      <c r="CM68" s="45"/>
      <c r="CN68" s="45"/>
      <c r="CO68" s="45"/>
      <c r="CP68" s="45"/>
      <c r="CQ68" s="45"/>
      <c r="CR68" s="45"/>
      <c r="CS68" s="45"/>
      <c r="CT68" s="45"/>
      <c r="CU68" s="45"/>
      <c r="CV68" s="45"/>
      <c r="CW68" s="45"/>
      <c r="CX68" s="45"/>
      <c r="CY68" s="45"/>
      <c r="CZ68" s="45"/>
      <c r="DA68" s="45"/>
      <c r="DB68" s="45"/>
      <c r="DC68" s="45"/>
      <c r="DD68" s="45"/>
      <c r="DE68" s="45"/>
      <c r="DF68" s="45"/>
      <c r="DG68" s="45"/>
      <c r="DH68" s="45"/>
      <c r="DI68" s="45"/>
      <c r="DJ68" s="45"/>
      <c r="DK68" s="45"/>
      <c r="DL68" s="45"/>
      <c r="DM68" s="45"/>
      <c r="DN68" s="45"/>
      <c r="DO68" s="45"/>
      <c r="DP68" s="45"/>
      <c r="DQ68" s="45"/>
      <c r="DR68" s="45"/>
      <c r="DS68" s="45"/>
      <c r="DT68" s="45"/>
      <c r="DU68" s="45"/>
      <c r="DV68" s="45"/>
      <c r="DW68" s="45"/>
      <c r="DX68" s="45"/>
      <c r="DY68" s="45"/>
      <c r="DZ68" s="45"/>
      <c r="EA68" s="45"/>
      <c r="EB68" s="45"/>
      <c r="EC68" s="45"/>
      <c r="ED68" s="45"/>
      <c r="EE68" s="45"/>
      <c r="EF68" s="45"/>
      <c r="EG68" s="45"/>
      <c r="EH68" s="45"/>
      <c r="EI68" s="45"/>
      <c r="EJ68" s="45"/>
      <c r="EK68" s="45"/>
      <c r="EL68" s="45"/>
      <c r="EM68" s="45"/>
      <c r="EN68" s="45"/>
      <c r="EO68" s="45"/>
      <c r="EP68" s="45"/>
      <c r="EQ68" s="45"/>
      <c r="ER68" s="45"/>
      <c r="ES68" s="45"/>
      <c r="ET68" s="45"/>
      <c r="EU68" s="45"/>
      <c r="EV68" s="45"/>
      <c r="EW68" s="45"/>
      <c r="EX68" s="45"/>
      <c r="EY68" s="45"/>
      <c r="EZ68" s="45"/>
      <c r="FA68" s="45"/>
      <c r="FB68" s="45"/>
      <c r="FC68" s="45"/>
      <c r="FD68" s="45"/>
      <c r="FE68" s="45"/>
      <c r="FF68" s="45"/>
      <c r="FG68" s="45"/>
      <c r="FH68" s="45"/>
      <c r="FI68" s="45"/>
      <c r="FJ68" s="45"/>
      <c r="FK68" s="45"/>
      <c r="FL68" s="45"/>
      <c r="FM68" s="45"/>
      <c r="FN68" s="45"/>
      <c r="FO68" s="45"/>
      <c r="FP68" s="45"/>
      <c r="FQ68" s="45"/>
      <c r="FR68" s="45"/>
      <c r="FS68" s="45"/>
      <c r="FT68" s="45"/>
      <c r="FU68" s="45"/>
      <c r="FV68" s="45"/>
      <c r="FW68" s="45"/>
      <c r="FX68" s="45"/>
      <c r="FY68" s="45"/>
      <c r="FZ68" s="45"/>
      <c r="GA68" s="45"/>
      <c r="GB68" s="45"/>
      <c r="GC68" s="45"/>
    </row>
    <row r="69" spans="1:185" ht="30" x14ac:dyDescent="0.25">
      <c r="A69" s="116" t="s">
        <v>108</v>
      </c>
      <c r="B69" s="49">
        <f>'1 уровень'!C277</f>
        <v>720</v>
      </c>
      <c r="C69" s="49">
        <f>'1 уровень'!D277</f>
        <v>480</v>
      </c>
      <c r="D69" s="49">
        <f>'1 уровень'!E277</f>
        <v>426</v>
      </c>
      <c r="E69" s="180">
        <f>'1 уровень'!F277</f>
        <v>88.75</v>
      </c>
      <c r="F69" s="62">
        <f>'1 уровень'!G277</f>
        <v>1272.3119999999999</v>
      </c>
      <c r="G69" s="62">
        <f>'1 уровень'!H277</f>
        <v>848.21</v>
      </c>
      <c r="H69" s="62">
        <f>'1 уровень'!I277</f>
        <v>742.08662000000004</v>
      </c>
      <c r="I69" s="62">
        <f>'1 уровень'!J277</f>
        <v>87.488548826351959</v>
      </c>
      <c r="J69" s="103"/>
      <c r="L69" s="727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  <c r="BM69" s="45"/>
      <c r="BN69" s="45"/>
      <c r="BO69" s="45"/>
      <c r="BP69" s="45"/>
      <c r="BQ69" s="45"/>
      <c r="BR69" s="45"/>
      <c r="BS69" s="45"/>
      <c r="BT69" s="45"/>
      <c r="BU69" s="45"/>
      <c r="BV69" s="45"/>
      <c r="BW69" s="45"/>
      <c r="BX69" s="45"/>
      <c r="BY69" s="45"/>
      <c r="BZ69" s="45"/>
      <c r="CA69" s="45"/>
      <c r="CB69" s="45"/>
      <c r="CC69" s="45"/>
      <c r="CD69" s="45"/>
      <c r="CE69" s="45"/>
      <c r="CF69" s="45"/>
      <c r="CG69" s="45"/>
      <c r="CH69" s="45"/>
      <c r="CI69" s="45"/>
      <c r="CJ69" s="45"/>
      <c r="CK69" s="45"/>
      <c r="CL69" s="45"/>
      <c r="CM69" s="45"/>
      <c r="CN69" s="45"/>
      <c r="CO69" s="45"/>
      <c r="CP69" s="45"/>
      <c r="CQ69" s="45"/>
      <c r="CR69" s="45"/>
      <c r="CS69" s="45"/>
      <c r="CT69" s="45"/>
      <c r="CU69" s="45"/>
      <c r="CV69" s="45"/>
      <c r="CW69" s="45"/>
      <c r="CX69" s="45"/>
      <c r="CY69" s="45"/>
      <c r="CZ69" s="45"/>
      <c r="DA69" s="45"/>
      <c r="DB69" s="45"/>
      <c r="DC69" s="45"/>
      <c r="DD69" s="45"/>
      <c r="DE69" s="45"/>
      <c r="DF69" s="45"/>
      <c r="DG69" s="45"/>
      <c r="DH69" s="45"/>
      <c r="DI69" s="45"/>
      <c r="DJ69" s="45"/>
      <c r="DK69" s="45"/>
      <c r="DL69" s="45"/>
      <c r="DM69" s="45"/>
      <c r="DN69" s="45"/>
      <c r="DO69" s="45"/>
      <c r="DP69" s="45"/>
      <c r="DQ69" s="45"/>
      <c r="DR69" s="45"/>
      <c r="DS69" s="45"/>
      <c r="DT69" s="45"/>
      <c r="DU69" s="45"/>
      <c r="DV69" s="45"/>
      <c r="DW69" s="45"/>
      <c r="DX69" s="45"/>
      <c r="DY69" s="45"/>
      <c r="DZ69" s="45"/>
      <c r="EA69" s="45"/>
      <c r="EB69" s="45"/>
      <c r="EC69" s="45"/>
      <c r="ED69" s="45"/>
      <c r="EE69" s="45"/>
      <c r="EF69" s="45"/>
      <c r="EG69" s="45"/>
      <c r="EH69" s="45"/>
      <c r="EI69" s="45"/>
      <c r="EJ69" s="45"/>
      <c r="EK69" s="45"/>
      <c r="EL69" s="45"/>
      <c r="EM69" s="45"/>
      <c r="EN69" s="45"/>
      <c r="EO69" s="45"/>
      <c r="EP69" s="45"/>
      <c r="EQ69" s="45"/>
      <c r="ER69" s="45"/>
      <c r="ES69" s="45"/>
      <c r="ET69" s="45"/>
      <c r="EU69" s="45"/>
      <c r="EV69" s="45"/>
      <c r="EW69" s="45"/>
      <c r="EX69" s="45"/>
      <c r="EY69" s="45"/>
      <c r="EZ69" s="45"/>
      <c r="FA69" s="45"/>
      <c r="FB69" s="45"/>
      <c r="FC69" s="45"/>
      <c r="FD69" s="45"/>
      <c r="FE69" s="45"/>
      <c r="FF69" s="45"/>
      <c r="FG69" s="45"/>
      <c r="FH69" s="45"/>
      <c r="FI69" s="45"/>
      <c r="FJ69" s="45"/>
      <c r="FK69" s="45"/>
      <c r="FL69" s="45"/>
      <c r="FM69" s="45"/>
      <c r="FN69" s="45"/>
      <c r="FO69" s="45"/>
      <c r="FP69" s="45"/>
      <c r="FQ69" s="45"/>
      <c r="FR69" s="45"/>
      <c r="FS69" s="45"/>
      <c r="FT69" s="45"/>
      <c r="FU69" s="45"/>
      <c r="FV69" s="45"/>
      <c r="FW69" s="45"/>
      <c r="FX69" s="45"/>
      <c r="FY69" s="45"/>
      <c r="FZ69" s="45"/>
      <c r="GA69" s="45"/>
      <c r="GB69" s="45"/>
      <c r="GC69" s="45"/>
    </row>
    <row r="70" spans="1:185" ht="60" x14ac:dyDescent="0.25">
      <c r="A70" s="116" t="s">
        <v>81</v>
      </c>
      <c r="B70" s="49">
        <f>'1 уровень'!C278</f>
        <v>4000</v>
      </c>
      <c r="C70" s="49">
        <f>'1 уровень'!D278</f>
        <v>2667</v>
      </c>
      <c r="D70" s="49">
        <f>'1 уровень'!E278</f>
        <v>298</v>
      </c>
      <c r="E70" s="180">
        <f>'1 уровень'!F278</f>
        <v>11.173603299587551</v>
      </c>
      <c r="F70" s="62">
        <f>'1 уровень'!G278</f>
        <v>9177.2000000000007</v>
      </c>
      <c r="G70" s="62">
        <f>'1 уровень'!H278</f>
        <v>6118.13</v>
      </c>
      <c r="H70" s="62">
        <f>'1 уровень'!I278</f>
        <v>282.19001000000003</v>
      </c>
      <c r="I70" s="62">
        <f>'1 уровень'!J278</f>
        <v>4.6123572071858563</v>
      </c>
      <c r="J70" s="103"/>
      <c r="L70" s="727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  <c r="BM70" s="45"/>
      <c r="BN70" s="45"/>
      <c r="BO70" s="45"/>
      <c r="BP70" s="45"/>
      <c r="BQ70" s="45"/>
      <c r="BR70" s="45"/>
      <c r="BS70" s="45"/>
      <c r="BT70" s="45"/>
      <c r="BU70" s="45"/>
      <c r="BV70" s="45"/>
      <c r="BW70" s="45"/>
      <c r="BX70" s="45"/>
      <c r="BY70" s="45"/>
      <c r="BZ70" s="45"/>
      <c r="CA70" s="45"/>
      <c r="CB70" s="45"/>
      <c r="CC70" s="45"/>
      <c r="CD70" s="45"/>
      <c r="CE70" s="45"/>
      <c r="CF70" s="45"/>
      <c r="CG70" s="45"/>
      <c r="CH70" s="45"/>
      <c r="CI70" s="45"/>
      <c r="CJ70" s="45"/>
      <c r="CK70" s="45"/>
      <c r="CL70" s="45"/>
      <c r="CM70" s="45"/>
      <c r="CN70" s="45"/>
      <c r="CO70" s="45"/>
      <c r="CP70" s="45"/>
      <c r="CQ70" s="45"/>
      <c r="CR70" s="45"/>
      <c r="CS70" s="45"/>
      <c r="CT70" s="45"/>
      <c r="CU70" s="45"/>
      <c r="CV70" s="45"/>
      <c r="CW70" s="45"/>
      <c r="CX70" s="45"/>
      <c r="CY70" s="45"/>
      <c r="CZ70" s="45"/>
      <c r="DA70" s="45"/>
      <c r="DB70" s="45"/>
      <c r="DC70" s="45"/>
      <c r="DD70" s="45"/>
      <c r="DE70" s="45"/>
      <c r="DF70" s="45"/>
      <c r="DG70" s="45"/>
      <c r="DH70" s="45"/>
      <c r="DI70" s="45"/>
      <c r="DJ70" s="45"/>
      <c r="DK70" s="45"/>
      <c r="DL70" s="45"/>
      <c r="DM70" s="45"/>
      <c r="DN70" s="45"/>
      <c r="DO70" s="45"/>
      <c r="DP70" s="45"/>
      <c r="DQ70" s="45"/>
      <c r="DR70" s="45"/>
      <c r="DS70" s="45"/>
      <c r="DT70" s="45"/>
      <c r="DU70" s="45"/>
      <c r="DV70" s="45"/>
      <c r="DW70" s="45"/>
      <c r="DX70" s="45"/>
      <c r="DY70" s="45"/>
      <c r="DZ70" s="45"/>
      <c r="EA70" s="45"/>
      <c r="EB70" s="45"/>
      <c r="EC70" s="45"/>
      <c r="ED70" s="45"/>
      <c r="EE70" s="45"/>
      <c r="EF70" s="45"/>
      <c r="EG70" s="45"/>
      <c r="EH70" s="45"/>
      <c r="EI70" s="45"/>
      <c r="EJ70" s="45"/>
      <c r="EK70" s="45"/>
      <c r="EL70" s="45"/>
      <c r="EM70" s="45"/>
      <c r="EN70" s="45"/>
      <c r="EO70" s="45"/>
      <c r="EP70" s="45"/>
      <c r="EQ70" s="45"/>
      <c r="ER70" s="45"/>
      <c r="ES70" s="45"/>
      <c r="ET70" s="45"/>
      <c r="EU70" s="45"/>
      <c r="EV70" s="45"/>
      <c r="EW70" s="45"/>
      <c r="EX70" s="45"/>
      <c r="EY70" s="45"/>
      <c r="EZ70" s="45"/>
      <c r="FA70" s="45"/>
      <c r="FB70" s="45"/>
      <c r="FC70" s="45"/>
      <c r="FD70" s="45"/>
      <c r="FE70" s="45"/>
      <c r="FF70" s="45"/>
      <c r="FG70" s="45"/>
      <c r="FH70" s="45"/>
      <c r="FI70" s="45"/>
      <c r="FJ70" s="45"/>
      <c r="FK70" s="45"/>
      <c r="FL70" s="45"/>
      <c r="FM70" s="45"/>
      <c r="FN70" s="45"/>
      <c r="FO70" s="45"/>
      <c r="FP70" s="45"/>
      <c r="FQ70" s="45"/>
      <c r="FR70" s="45"/>
      <c r="FS70" s="45"/>
      <c r="FT70" s="45"/>
      <c r="FU70" s="45"/>
      <c r="FV70" s="45"/>
      <c r="FW70" s="45"/>
      <c r="FX70" s="45"/>
      <c r="FY70" s="45"/>
      <c r="FZ70" s="45"/>
      <c r="GA70" s="45"/>
      <c r="GB70" s="45"/>
      <c r="GC70" s="45"/>
    </row>
    <row r="71" spans="1:185" ht="45" x14ac:dyDescent="0.25">
      <c r="A71" s="116" t="s">
        <v>109</v>
      </c>
      <c r="B71" s="49">
        <f>'1 уровень'!C279</f>
        <v>1550</v>
      </c>
      <c r="C71" s="49">
        <f>'1 уровень'!D279</f>
        <v>1033</v>
      </c>
      <c r="D71" s="49">
        <f>'1 уровень'!E279</f>
        <v>252</v>
      </c>
      <c r="E71" s="180">
        <f>'1 уровень'!F279</f>
        <v>24.394966118102616</v>
      </c>
      <c r="F71" s="62">
        <f>'1 уровень'!G279</f>
        <v>1266.04</v>
      </c>
      <c r="G71" s="62">
        <f>'1 уровень'!H279</f>
        <v>844.03</v>
      </c>
      <c r="H71" s="62">
        <f>'1 уровень'!I279</f>
        <v>174.20951000000002</v>
      </c>
      <c r="I71" s="62">
        <f>'1 уровень'!J279</f>
        <v>20.64020354726728</v>
      </c>
      <c r="J71" s="103"/>
      <c r="L71" s="727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BM71" s="45"/>
      <c r="BN71" s="45"/>
      <c r="BO71" s="45"/>
      <c r="BP71" s="45"/>
      <c r="BQ71" s="45"/>
      <c r="BR71" s="45"/>
      <c r="BS71" s="45"/>
      <c r="BT71" s="45"/>
      <c r="BU71" s="45"/>
      <c r="BV71" s="45"/>
      <c r="BW71" s="45"/>
      <c r="BX71" s="45"/>
      <c r="BY71" s="45"/>
      <c r="BZ71" s="45"/>
      <c r="CA71" s="45"/>
      <c r="CB71" s="45"/>
      <c r="CC71" s="45"/>
      <c r="CD71" s="45"/>
      <c r="CE71" s="45"/>
      <c r="CF71" s="45"/>
      <c r="CG71" s="45"/>
      <c r="CH71" s="45"/>
      <c r="CI71" s="45"/>
      <c r="CJ71" s="45"/>
      <c r="CK71" s="45"/>
      <c r="CL71" s="45"/>
      <c r="CM71" s="45"/>
      <c r="CN71" s="45"/>
      <c r="CO71" s="45"/>
      <c r="CP71" s="45"/>
      <c r="CQ71" s="45"/>
      <c r="CR71" s="45"/>
      <c r="CS71" s="45"/>
      <c r="CT71" s="45"/>
      <c r="CU71" s="45"/>
      <c r="CV71" s="45"/>
      <c r="CW71" s="45"/>
      <c r="CX71" s="45"/>
      <c r="CY71" s="45"/>
      <c r="CZ71" s="45"/>
      <c r="DA71" s="45"/>
      <c r="DB71" s="45"/>
      <c r="DC71" s="45"/>
      <c r="DD71" s="45"/>
      <c r="DE71" s="45"/>
      <c r="DF71" s="45"/>
      <c r="DG71" s="45"/>
      <c r="DH71" s="45"/>
      <c r="DI71" s="45"/>
      <c r="DJ71" s="45"/>
      <c r="DK71" s="45"/>
      <c r="DL71" s="45"/>
      <c r="DM71" s="45"/>
      <c r="DN71" s="45"/>
      <c r="DO71" s="45"/>
      <c r="DP71" s="45"/>
      <c r="DQ71" s="45"/>
      <c r="DR71" s="45"/>
      <c r="DS71" s="45"/>
      <c r="DT71" s="45"/>
      <c r="DU71" s="45"/>
      <c r="DV71" s="45"/>
      <c r="DW71" s="45"/>
      <c r="DX71" s="45"/>
      <c r="DY71" s="45"/>
      <c r="DZ71" s="45"/>
      <c r="EA71" s="45"/>
      <c r="EB71" s="45"/>
      <c r="EC71" s="45"/>
      <c r="ED71" s="45"/>
      <c r="EE71" s="45"/>
      <c r="EF71" s="45"/>
      <c r="EG71" s="45"/>
      <c r="EH71" s="45"/>
      <c r="EI71" s="45"/>
      <c r="EJ71" s="45"/>
      <c r="EK71" s="45"/>
      <c r="EL71" s="45"/>
      <c r="EM71" s="45"/>
      <c r="EN71" s="45"/>
      <c r="EO71" s="45"/>
      <c r="EP71" s="45"/>
      <c r="EQ71" s="45"/>
      <c r="ER71" s="45"/>
      <c r="ES71" s="45"/>
      <c r="ET71" s="45"/>
      <c r="EU71" s="45"/>
      <c r="EV71" s="45"/>
      <c r="EW71" s="45"/>
      <c r="EX71" s="45"/>
      <c r="EY71" s="45"/>
      <c r="EZ71" s="45"/>
      <c r="FA71" s="45"/>
      <c r="FB71" s="45"/>
      <c r="FC71" s="45"/>
      <c r="FD71" s="45"/>
      <c r="FE71" s="45"/>
      <c r="FF71" s="45"/>
      <c r="FG71" s="45"/>
      <c r="FH71" s="45"/>
      <c r="FI71" s="45"/>
      <c r="FJ71" s="45"/>
      <c r="FK71" s="45"/>
      <c r="FL71" s="45"/>
      <c r="FM71" s="45"/>
      <c r="FN71" s="45"/>
      <c r="FO71" s="45"/>
      <c r="FP71" s="45"/>
      <c r="FQ71" s="45"/>
      <c r="FR71" s="45"/>
      <c r="FS71" s="45"/>
      <c r="FT71" s="45"/>
      <c r="FU71" s="45"/>
      <c r="FV71" s="45"/>
      <c r="FW71" s="45"/>
      <c r="FX71" s="45"/>
      <c r="FY71" s="45"/>
      <c r="FZ71" s="45"/>
      <c r="GA71" s="45"/>
      <c r="GB71" s="45"/>
      <c r="GC71" s="45"/>
    </row>
    <row r="72" spans="1:185" ht="30" x14ac:dyDescent="0.25">
      <c r="A72" s="285" t="s">
        <v>123</v>
      </c>
      <c r="B72" s="544">
        <f>'1 уровень'!C280</f>
        <v>10781</v>
      </c>
      <c r="C72" s="544">
        <f>'1 уровень'!D280</f>
        <v>7187</v>
      </c>
      <c r="D72" s="544">
        <f>'1 уровень'!E280</f>
        <v>7929</v>
      </c>
      <c r="E72" s="545">
        <f>'1 уровень'!F280</f>
        <v>110.32419646584111</v>
      </c>
      <c r="F72" s="546">
        <f>'1 уровень'!G280</f>
        <v>8743.6066199999987</v>
      </c>
      <c r="G72" s="546">
        <f>'1 уровень'!H280</f>
        <v>5829.07</v>
      </c>
      <c r="H72" s="546">
        <f>'1 уровень'!I280</f>
        <v>6384.7981300000001</v>
      </c>
      <c r="I72" s="546">
        <f>'1 уровень'!J280</f>
        <v>109.5337357417221</v>
      </c>
      <c r="J72" s="103"/>
      <c r="K72" s="103"/>
      <c r="L72" s="103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  <c r="BM72" s="45"/>
      <c r="BN72" s="45"/>
      <c r="BO72" s="45"/>
      <c r="BP72" s="45"/>
      <c r="BQ72" s="45"/>
      <c r="BR72" s="45"/>
      <c r="BS72" s="45"/>
      <c r="BT72" s="45"/>
      <c r="BU72" s="45"/>
      <c r="BV72" s="45"/>
      <c r="BW72" s="45"/>
      <c r="BX72" s="45"/>
      <c r="BY72" s="45"/>
      <c r="BZ72" s="45"/>
      <c r="CA72" s="45"/>
      <c r="CB72" s="45"/>
      <c r="CC72" s="45"/>
      <c r="CD72" s="45"/>
      <c r="CE72" s="45"/>
      <c r="CF72" s="45"/>
      <c r="CG72" s="45"/>
      <c r="CH72" s="45"/>
      <c r="CI72" s="45"/>
      <c r="CJ72" s="45"/>
      <c r="CK72" s="45"/>
      <c r="CL72" s="45"/>
      <c r="CM72" s="45"/>
      <c r="CN72" s="45"/>
      <c r="CO72" s="45"/>
      <c r="CP72" s="45"/>
      <c r="CQ72" s="45"/>
      <c r="CR72" s="45"/>
      <c r="CS72" s="45"/>
      <c r="CT72" s="45"/>
      <c r="CU72" s="45"/>
      <c r="CV72" s="45"/>
      <c r="CW72" s="45"/>
      <c r="CX72" s="45"/>
      <c r="CY72" s="45"/>
      <c r="CZ72" s="45"/>
      <c r="DA72" s="45"/>
      <c r="DB72" s="45"/>
      <c r="DC72" s="45"/>
      <c r="DD72" s="45"/>
      <c r="DE72" s="45"/>
      <c r="DF72" s="45"/>
      <c r="DG72" s="45"/>
      <c r="DH72" s="45"/>
      <c r="DI72" s="45"/>
      <c r="DJ72" s="45"/>
      <c r="DK72" s="45"/>
      <c r="DL72" s="45"/>
      <c r="DM72" s="45"/>
      <c r="DN72" s="45"/>
      <c r="DO72" s="45"/>
      <c r="DP72" s="45"/>
      <c r="DQ72" s="45"/>
      <c r="DR72" s="45"/>
      <c r="DS72" s="45"/>
      <c r="DT72" s="45"/>
      <c r="DU72" s="45"/>
      <c r="DV72" s="45"/>
      <c r="DW72" s="45"/>
      <c r="DX72" s="45"/>
      <c r="DY72" s="45"/>
      <c r="DZ72" s="45"/>
      <c r="EA72" s="45"/>
      <c r="EB72" s="45"/>
      <c r="EC72" s="45"/>
      <c r="ED72" s="45"/>
      <c r="EE72" s="45"/>
      <c r="EF72" s="45"/>
      <c r="EG72" s="45"/>
      <c r="EH72" s="45"/>
      <c r="EI72" s="45"/>
      <c r="EJ72" s="45"/>
      <c r="EK72" s="45"/>
      <c r="EL72" s="45"/>
      <c r="EM72" s="45"/>
      <c r="EN72" s="45"/>
      <c r="EO72" s="45"/>
      <c r="EP72" s="45"/>
      <c r="EQ72" s="45"/>
      <c r="ER72" s="45"/>
      <c r="ES72" s="45"/>
      <c r="ET72" s="45"/>
      <c r="EU72" s="45"/>
      <c r="EV72" s="45"/>
      <c r="EW72" s="45"/>
      <c r="EX72" s="45"/>
      <c r="EY72" s="45"/>
      <c r="EZ72" s="45"/>
      <c r="FA72" s="45"/>
      <c r="FB72" s="45"/>
      <c r="FC72" s="45"/>
      <c r="FD72" s="45"/>
      <c r="FE72" s="45"/>
      <c r="FF72" s="45"/>
      <c r="FG72" s="45"/>
      <c r="FH72" s="45"/>
      <c r="FI72" s="45"/>
      <c r="FJ72" s="45"/>
      <c r="FK72" s="45"/>
      <c r="FL72" s="45"/>
      <c r="FM72" s="45"/>
      <c r="FN72" s="45"/>
      <c r="FO72" s="45"/>
      <c r="FP72" s="45"/>
      <c r="FQ72" s="45"/>
      <c r="FR72" s="45"/>
      <c r="FS72" s="45"/>
      <c r="FT72" s="45"/>
      <c r="FU72" s="45"/>
      <c r="FV72" s="45"/>
      <c r="FW72" s="45"/>
      <c r="FX72" s="45"/>
      <c r="FY72" s="45"/>
      <c r="FZ72" s="45"/>
      <c r="GA72" s="45"/>
      <c r="GB72" s="45"/>
      <c r="GC72" s="45"/>
    </row>
    <row r="73" spans="1:185" ht="30.75" thickBot="1" x14ac:dyDescent="0.3">
      <c r="A73" s="667" t="s">
        <v>125</v>
      </c>
      <c r="B73" s="544">
        <f>'1 уровень'!C281</f>
        <v>0</v>
      </c>
      <c r="C73" s="544">
        <f>'1 уровень'!D281</f>
        <v>0</v>
      </c>
      <c r="D73" s="544">
        <f>'1 уровень'!E281</f>
        <v>0</v>
      </c>
      <c r="E73" s="545">
        <f>'1 уровень'!F281</f>
        <v>0</v>
      </c>
      <c r="F73" s="546">
        <f>'1 уровень'!G281</f>
        <v>0</v>
      </c>
      <c r="G73" s="546">
        <f>'1 уровень'!H281</f>
        <v>0</v>
      </c>
      <c r="H73" s="546">
        <f>'1 уровень'!I281</f>
        <v>-4.7196800000000003</v>
      </c>
      <c r="I73" s="546" t="e">
        <f>'1 уровень'!J281</f>
        <v>#DIV/0!</v>
      </c>
      <c r="J73" s="103"/>
      <c r="K73" s="103"/>
      <c r="L73" s="103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  <c r="BM73" s="45"/>
      <c r="BN73" s="45"/>
      <c r="BO73" s="45"/>
      <c r="BP73" s="45"/>
      <c r="BQ73" s="45"/>
      <c r="BR73" s="45"/>
      <c r="BS73" s="45"/>
      <c r="BT73" s="45"/>
      <c r="BU73" s="45"/>
      <c r="BV73" s="45"/>
      <c r="BW73" s="45"/>
      <c r="BX73" s="45"/>
      <c r="BY73" s="45"/>
      <c r="BZ73" s="45"/>
      <c r="CA73" s="45"/>
      <c r="CB73" s="45"/>
      <c r="CC73" s="45"/>
      <c r="CD73" s="45"/>
      <c r="CE73" s="45"/>
      <c r="CF73" s="45"/>
      <c r="CG73" s="45"/>
      <c r="CH73" s="45"/>
      <c r="CI73" s="45"/>
      <c r="CJ73" s="45"/>
      <c r="CK73" s="45"/>
      <c r="CL73" s="45"/>
      <c r="CM73" s="45"/>
      <c r="CN73" s="45"/>
      <c r="CO73" s="45"/>
      <c r="CP73" s="45"/>
      <c r="CQ73" s="45"/>
      <c r="CR73" s="45"/>
      <c r="CS73" s="45"/>
      <c r="CT73" s="45"/>
      <c r="CU73" s="45"/>
      <c r="CV73" s="45"/>
      <c r="CW73" s="45"/>
      <c r="CX73" s="45"/>
      <c r="CY73" s="45"/>
      <c r="CZ73" s="45"/>
      <c r="DA73" s="45"/>
      <c r="DB73" s="45"/>
      <c r="DC73" s="45"/>
      <c r="DD73" s="45"/>
      <c r="DE73" s="45"/>
      <c r="DF73" s="45"/>
      <c r="DG73" s="45"/>
      <c r="DH73" s="45"/>
      <c r="DI73" s="45"/>
      <c r="DJ73" s="45"/>
      <c r="DK73" s="45"/>
      <c r="DL73" s="45"/>
      <c r="DM73" s="45"/>
      <c r="DN73" s="45"/>
      <c r="DO73" s="45"/>
      <c r="DP73" s="45"/>
      <c r="DQ73" s="45"/>
      <c r="DR73" s="45"/>
      <c r="DS73" s="45"/>
      <c r="DT73" s="45"/>
      <c r="DU73" s="45"/>
      <c r="DV73" s="45"/>
      <c r="DW73" s="45"/>
      <c r="DX73" s="45"/>
      <c r="DY73" s="45"/>
      <c r="DZ73" s="45"/>
      <c r="EA73" s="45"/>
      <c r="EB73" s="45"/>
      <c r="EC73" s="45"/>
      <c r="ED73" s="45"/>
      <c r="EE73" s="45"/>
      <c r="EF73" s="45"/>
      <c r="EG73" s="45"/>
      <c r="EH73" s="45"/>
      <c r="EI73" s="45"/>
      <c r="EJ73" s="45"/>
      <c r="EK73" s="45"/>
      <c r="EL73" s="45"/>
      <c r="EM73" s="45"/>
      <c r="EN73" s="45"/>
      <c r="EO73" s="45"/>
      <c r="EP73" s="45"/>
      <c r="EQ73" s="45"/>
      <c r="ER73" s="45"/>
      <c r="ES73" s="45"/>
      <c r="ET73" s="45"/>
      <c r="EU73" s="45"/>
      <c r="EV73" s="45"/>
      <c r="EW73" s="45"/>
      <c r="EX73" s="45"/>
      <c r="EY73" s="45"/>
      <c r="EZ73" s="45"/>
      <c r="FA73" s="45"/>
      <c r="FB73" s="45"/>
      <c r="FC73" s="45"/>
      <c r="FD73" s="45"/>
      <c r="FE73" s="45"/>
      <c r="FF73" s="45"/>
      <c r="FG73" s="45"/>
      <c r="FH73" s="45"/>
      <c r="FI73" s="45"/>
      <c r="FJ73" s="45"/>
      <c r="FK73" s="45"/>
      <c r="FL73" s="45"/>
      <c r="FM73" s="45"/>
      <c r="FN73" s="45"/>
      <c r="FO73" s="45"/>
      <c r="FP73" s="45"/>
      <c r="FQ73" s="45"/>
      <c r="FR73" s="45"/>
      <c r="FS73" s="45"/>
      <c r="FT73" s="45"/>
      <c r="FU73" s="45"/>
      <c r="FV73" s="45"/>
      <c r="FW73" s="45"/>
      <c r="FX73" s="45"/>
      <c r="FY73" s="45"/>
      <c r="FZ73" s="45"/>
      <c r="GA73" s="45"/>
      <c r="GB73" s="45"/>
      <c r="GC73" s="45"/>
    </row>
    <row r="74" spans="1:185" ht="15.75" thickBot="1" x14ac:dyDescent="0.3">
      <c r="A74" s="557" t="s">
        <v>106</v>
      </c>
      <c r="B74" s="549">
        <f>'1 уровень'!C282</f>
        <v>0</v>
      </c>
      <c r="C74" s="549">
        <f>'1 уровень'!D282</f>
        <v>0</v>
      </c>
      <c r="D74" s="549">
        <f>'1 уровень'!E282</f>
        <v>0</v>
      </c>
      <c r="E74" s="550">
        <f>'1 уровень'!F282</f>
        <v>0</v>
      </c>
      <c r="F74" s="551">
        <f>'1 уровень'!G282</f>
        <v>25551.407169999999</v>
      </c>
      <c r="G74" s="551">
        <f>'1 уровень'!H282</f>
        <v>17034.28</v>
      </c>
      <c r="H74" s="551">
        <f>'1 уровень'!I282</f>
        <v>11278.10369</v>
      </c>
      <c r="I74" s="551">
        <f>'1 уровень'!J282</f>
        <v>66.208279363730085</v>
      </c>
      <c r="J74" s="103"/>
      <c r="L74" s="727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  <c r="BM74" s="45"/>
      <c r="BN74" s="45"/>
      <c r="BO74" s="45"/>
      <c r="BP74" s="45"/>
      <c r="BQ74" s="45"/>
      <c r="BR74" s="45"/>
      <c r="BS74" s="45"/>
      <c r="BT74" s="45"/>
      <c r="BU74" s="45"/>
      <c r="BV74" s="45"/>
      <c r="BW74" s="45"/>
      <c r="BX74" s="45"/>
      <c r="BY74" s="45"/>
      <c r="BZ74" s="45"/>
      <c r="CA74" s="45"/>
      <c r="CB74" s="45"/>
      <c r="CC74" s="45"/>
      <c r="CD74" s="45"/>
      <c r="CE74" s="45"/>
      <c r="CF74" s="45"/>
      <c r="CG74" s="45"/>
      <c r="CH74" s="45"/>
      <c r="CI74" s="45"/>
      <c r="CJ74" s="45"/>
      <c r="CK74" s="45"/>
      <c r="CL74" s="45"/>
      <c r="CM74" s="45"/>
      <c r="CN74" s="45"/>
      <c r="CO74" s="45"/>
      <c r="CP74" s="45"/>
      <c r="CQ74" s="45"/>
      <c r="CR74" s="45"/>
      <c r="CS74" s="45"/>
      <c r="CT74" s="45"/>
      <c r="CU74" s="45"/>
      <c r="CV74" s="45"/>
      <c r="CW74" s="45"/>
      <c r="CX74" s="45"/>
      <c r="CY74" s="45"/>
      <c r="CZ74" s="45"/>
      <c r="DA74" s="45"/>
      <c r="DB74" s="45"/>
      <c r="DC74" s="45"/>
      <c r="DD74" s="45"/>
      <c r="DE74" s="45"/>
      <c r="DF74" s="45"/>
      <c r="DG74" s="45"/>
      <c r="DH74" s="45"/>
      <c r="DI74" s="45"/>
      <c r="DJ74" s="45"/>
      <c r="DK74" s="45"/>
      <c r="DL74" s="45"/>
      <c r="DM74" s="45"/>
      <c r="DN74" s="45"/>
      <c r="DO74" s="45"/>
      <c r="DP74" s="45"/>
      <c r="DQ74" s="45"/>
      <c r="DR74" s="45"/>
      <c r="DS74" s="45"/>
      <c r="DT74" s="45"/>
      <c r="DU74" s="45"/>
      <c r="DV74" s="45"/>
      <c r="DW74" s="45"/>
      <c r="DX74" s="45"/>
      <c r="DY74" s="45"/>
      <c r="DZ74" s="45"/>
      <c r="EA74" s="45"/>
      <c r="EB74" s="45"/>
      <c r="EC74" s="45"/>
      <c r="ED74" s="45"/>
      <c r="EE74" s="45"/>
      <c r="EF74" s="45"/>
      <c r="EG74" s="45"/>
      <c r="EH74" s="45"/>
      <c r="EI74" s="45"/>
      <c r="EJ74" s="45"/>
      <c r="EK74" s="45"/>
      <c r="EL74" s="45"/>
      <c r="EM74" s="45"/>
      <c r="EN74" s="45"/>
      <c r="EO74" s="45"/>
      <c r="EP74" s="45"/>
      <c r="EQ74" s="45"/>
      <c r="ER74" s="45"/>
      <c r="ES74" s="45"/>
      <c r="ET74" s="45"/>
      <c r="EU74" s="45"/>
      <c r="EV74" s="45"/>
      <c r="EW74" s="45"/>
      <c r="EX74" s="45"/>
      <c r="EY74" s="45"/>
      <c r="EZ74" s="45"/>
      <c r="FA74" s="45"/>
      <c r="FB74" s="45"/>
      <c r="FC74" s="45"/>
      <c r="FD74" s="45"/>
      <c r="FE74" s="45"/>
      <c r="FF74" s="45"/>
      <c r="FG74" s="45"/>
      <c r="FH74" s="45"/>
      <c r="FI74" s="45"/>
      <c r="FJ74" s="45"/>
      <c r="FK74" s="45"/>
      <c r="FL74" s="45"/>
      <c r="FM74" s="45"/>
      <c r="FN74" s="45"/>
      <c r="FO74" s="45"/>
      <c r="FP74" s="45"/>
      <c r="FQ74" s="45"/>
      <c r="FR74" s="45"/>
      <c r="FS74" s="45"/>
      <c r="FT74" s="45"/>
      <c r="FU74" s="45"/>
      <c r="FV74" s="45"/>
      <c r="FW74" s="45"/>
      <c r="FX74" s="45"/>
      <c r="FY74" s="45"/>
      <c r="FZ74" s="45"/>
      <c r="GA74" s="45"/>
      <c r="GB74" s="45"/>
      <c r="GC74" s="45"/>
    </row>
    <row r="75" spans="1:185" s="45" customFormat="1" ht="15" customHeight="1" x14ac:dyDescent="0.25">
      <c r="A75" s="221" t="s">
        <v>20</v>
      </c>
      <c r="B75" s="248"/>
      <c r="C75" s="248"/>
      <c r="D75" s="686"/>
      <c r="E75" s="249"/>
      <c r="F75" s="194"/>
      <c r="G75" s="194"/>
      <c r="H75" s="690"/>
      <c r="I75" s="194"/>
      <c r="J75" s="103"/>
      <c r="K75" s="726"/>
      <c r="L75" s="727"/>
    </row>
    <row r="76" spans="1:185" ht="30" x14ac:dyDescent="0.25">
      <c r="A76" s="542" t="s">
        <v>120</v>
      </c>
      <c r="B76" s="539">
        <f>'2 уровень'!C170</f>
        <v>5693</v>
      </c>
      <c r="C76" s="539">
        <f>'2 уровень'!D170</f>
        <v>3796</v>
      </c>
      <c r="D76" s="539">
        <f>'2 уровень'!E170</f>
        <v>3080</v>
      </c>
      <c r="E76" s="540">
        <f>'2 уровень'!F170</f>
        <v>81.138040042149626</v>
      </c>
      <c r="F76" s="543">
        <f>'2 уровень'!G170</f>
        <v>8756.3448399999997</v>
      </c>
      <c r="G76" s="543">
        <f>'2 уровень'!H170</f>
        <v>5837.56</v>
      </c>
      <c r="H76" s="543">
        <f>'2 уровень'!I170</f>
        <v>4990.1434000000045</v>
      </c>
      <c r="I76" s="543">
        <f>'2 уровень'!J170</f>
        <v>85.483376616257544</v>
      </c>
      <c r="J76" s="103"/>
      <c r="L76" s="727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  <c r="BM76" s="45"/>
      <c r="BN76" s="45"/>
      <c r="BO76" s="45"/>
      <c r="BP76" s="45"/>
      <c r="BQ76" s="45"/>
      <c r="BR76" s="45"/>
      <c r="BS76" s="45"/>
      <c r="BT76" s="45"/>
      <c r="BU76" s="45"/>
      <c r="BV76" s="45"/>
      <c r="BW76" s="45"/>
      <c r="BX76" s="45"/>
      <c r="BY76" s="45"/>
      <c r="BZ76" s="45"/>
      <c r="CA76" s="45"/>
      <c r="CB76" s="45"/>
      <c r="CC76" s="45"/>
      <c r="CD76" s="45"/>
      <c r="CE76" s="45"/>
      <c r="CF76" s="45"/>
      <c r="CG76" s="45"/>
      <c r="CH76" s="45"/>
      <c r="CI76" s="45"/>
      <c r="CJ76" s="45"/>
      <c r="CK76" s="45"/>
      <c r="CL76" s="45"/>
      <c r="CM76" s="45"/>
      <c r="CN76" s="45"/>
      <c r="CO76" s="45"/>
      <c r="CP76" s="45"/>
      <c r="CQ76" s="45"/>
      <c r="CR76" s="45"/>
      <c r="CS76" s="45"/>
      <c r="CT76" s="45"/>
      <c r="CU76" s="45"/>
      <c r="CV76" s="45"/>
      <c r="CW76" s="45"/>
      <c r="CX76" s="45"/>
      <c r="CY76" s="45"/>
      <c r="CZ76" s="45"/>
      <c r="DA76" s="45"/>
      <c r="DB76" s="45"/>
      <c r="DC76" s="45"/>
      <c r="DD76" s="45"/>
      <c r="DE76" s="45"/>
      <c r="DF76" s="45"/>
      <c r="DG76" s="45"/>
      <c r="DH76" s="45"/>
      <c r="DI76" s="45"/>
      <c r="DJ76" s="45"/>
      <c r="DK76" s="45"/>
      <c r="DL76" s="45"/>
      <c r="DM76" s="45"/>
      <c r="DN76" s="45"/>
      <c r="DO76" s="45"/>
      <c r="DP76" s="45"/>
      <c r="DQ76" s="45"/>
      <c r="DR76" s="45"/>
      <c r="DS76" s="45"/>
      <c r="DT76" s="45"/>
      <c r="DU76" s="45"/>
      <c r="DV76" s="45"/>
      <c r="DW76" s="45"/>
      <c r="DX76" s="45"/>
      <c r="DY76" s="45"/>
      <c r="DZ76" s="45"/>
      <c r="EA76" s="45"/>
      <c r="EB76" s="45"/>
      <c r="EC76" s="45"/>
      <c r="ED76" s="45"/>
      <c r="EE76" s="45"/>
      <c r="EF76" s="45"/>
      <c r="EG76" s="45"/>
      <c r="EH76" s="45"/>
      <c r="EI76" s="45"/>
      <c r="EJ76" s="45"/>
      <c r="EK76" s="45"/>
      <c r="EL76" s="45"/>
      <c r="EM76" s="45"/>
      <c r="EN76" s="45"/>
      <c r="EO76" s="45"/>
      <c r="EP76" s="45"/>
      <c r="EQ76" s="45"/>
      <c r="ER76" s="45"/>
      <c r="ES76" s="45"/>
      <c r="ET76" s="45"/>
      <c r="EU76" s="45"/>
      <c r="EV76" s="45"/>
      <c r="EW76" s="45"/>
      <c r="EX76" s="45"/>
      <c r="EY76" s="45"/>
      <c r="EZ76" s="45"/>
      <c r="FA76" s="45"/>
      <c r="FB76" s="45"/>
      <c r="FC76" s="45"/>
      <c r="FD76" s="45"/>
      <c r="FE76" s="45"/>
      <c r="FF76" s="45"/>
      <c r="FG76" s="45"/>
      <c r="FH76" s="45"/>
      <c r="FI76" s="45"/>
      <c r="FJ76" s="45"/>
      <c r="FK76" s="45"/>
      <c r="FL76" s="45"/>
      <c r="FM76" s="45"/>
      <c r="FN76" s="45"/>
      <c r="FO76" s="45"/>
      <c r="FP76" s="45"/>
      <c r="FQ76" s="45"/>
      <c r="FR76" s="45"/>
      <c r="FS76" s="45"/>
      <c r="FT76" s="45"/>
      <c r="FU76" s="45"/>
      <c r="FV76" s="45"/>
      <c r="FW76" s="45"/>
      <c r="FX76" s="45"/>
      <c r="FY76" s="45"/>
      <c r="FZ76" s="45"/>
      <c r="GA76" s="45"/>
      <c r="GB76" s="45"/>
      <c r="GC76" s="45"/>
    </row>
    <row r="77" spans="1:185" ht="30" x14ac:dyDescent="0.25">
      <c r="A77" s="116" t="s">
        <v>79</v>
      </c>
      <c r="B77" s="251">
        <f>'2 уровень'!C171</f>
        <v>4199</v>
      </c>
      <c r="C77" s="251">
        <f>'2 уровень'!D171</f>
        <v>2800</v>
      </c>
      <c r="D77" s="49">
        <f>'2 уровень'!E171</f>
        <v>2568</v>
      </c>
      <c r="E77" s="252">
        <f>'2 уровень'!F171</f>
        <v>91.714285714285708</v>
      </c>
      <c r="F77" s="193">
        <f>'2 уровень'!G171</f>
        <v>5149.6494000000002</v>
      </c>
      <c r="G77" s="193">
        <f>'2 уровень'!H171</f>
        <v>3433.1</v>
      </c>
      <c r="H77" s="62">
        <f>'2 уровень'!I171</f>
        <v>3652.7746100000049</v>
      </c>
      <c r="I77" s="193">
        <f>'2 уровень'!J171</f>
        <v>106.39872447642087</v>
      </c>
      <c r="J77" s="103"/>
      <c r="L77" s="727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  <c r="BM77" s="45"/>
      <c r="BN77" s="45"/>
      <c r="BO77" s="45"/>
      <c r="BP77" s="45"/>
      <c r="BQ77" s="45"/>
      <c r="BR77" s="45"/>
      <c r="BS77" s="45"/>
      <c r="BT77" s="45"/>
      <c r="BU77" s="45"/>
      <c r="BV77" s="45"/>
      <c r="BW77" s="45"/>
      <c r="BX77" s="45"/>
      <c r="BY77" s="45"/>
      <c r="BZ77" s="45"/>
      <c r="CA77" s="45"/>
      <c r="CB77" s="45"/>
      <c r="CC77" s="45"/>
      <c r="CD77" s="45"/>
      <c r="CE77" s="45"/>
      <c r="CF77" s="45"/>
      <c r="CG77" s="45"/>
      <c r="CH77" s="45"/>
      <c r="CI77" s="45"/>
      <c r="CJ77" s="45"/>
      <c r="CK77" s="45"/>
      <c r="CL77" s="45"/>
      <c r="CM77" s="45"/>
      <c r="CN77" s="45"/>
      <c r="CO77" s="45"/>
      <c r="CP77" s="45"/>
      <c r="CQ77" s="45"/>
      <c r="CR77" s="45"/>
      <c r="CS77" s="45"/>
      <c r="CT77" s="45"/>
      <c r="CU77" s="45"/>
      <c r="CV77" s="45"/>
      <c r="CW77" s="45"/>
      <c r="CX77" s="45"/>
      <c r="CY77" s="45"/>
      <c r="CZ77" s="45"/>
      <c r="DA77" s="45"/>
      <c r="DB77" s="45"/>
      <c r="DC77" s="45"/>
      <c r="DD77" s="45"/>
      <c r="DE77" s="45"/>
      <c r="DF77" s="45"/>
      <c r="DG77" s="45"/>
      <c r="DH77" s="45"/>
      <c r="DI77" s="45"/>
      <c r="DJ77" s="45"/>
      <c r="DK77" s="45"/>
      <c r="DL77" s="45"/>
      <c r="DM77" s="45"/>
      <c r="DN77" s="45"/>
      <c r="DO77" s="45"/>
      <c r="DP77" s="45"/>
      <c r="DQ77" s="45"/>
      <c r="DR77" s="45"/>
      <c r="DS77" s="45"/>
      <c r="DT77" s="45"/>
      <c r="DU77" s="45"/>
      <c r="DV77" s="45"/>
      <c r="DW77" s="45"/>
      <c r="DX77" s="45"/>
      <c r="DY77" s="45"/>
      <c r="DZ77" s="45"/>
      <c r="EA77" s="45"/>
      <c r="EB77" s="45"/>
      <c r="EC77" s="45"/>
      <c r="ED77" s="45"/>
      <c r="EE77" s="45"/>
      <c r="EF77" s="45"/>
      <c r="EG77" s="45"/>
      <c r="EH77" s="45"/>
      <c r="EI77" s="45"/>
      <c r="EJ77" s="45"/>
      <c r="EK77" s="45"/>
      <c r="EL77" s="45"/>
      <c r="EM77" s="45"/>
      <c r="EN77" s="45"/>
      <c r="EO77" s="45"/>
      <c r="EP77" s="45"/>
      <c r="EQ77" s="45"/>
      <c r="ER77" s="45"/>
      <c r="ES77" s="45"/>
      <c r="ET77" s="45"/>
      <c r="EU77" s="45"/>
      <c r="EV77" s="45"/>
      <c r="EW77" s="45"/>
      <c r="EX77" s="45"/>
      <c r="EY77" s="45"/>
      <c r="EZ77" s="45"/>
      <c r="FA77" s="45"/>
      <c r="FB77" s="45"/>
      <c r="FC77" s="45"/>
      <c r="FD77" s="45"/>
      <c r="FE77" s="45"/>
      <c r="FF77" s="45"/>
      <c r="FG77" s="45"/>
      <c r="FH77" s="45"/>
      <c r="FI77" s="45"/>
      <c r="FJ77" s="45"/>
      <c r="FK77" s="45"/>
      <c r="FL77" s="45"/>
      <c r="FM77" s="45"/>
      <c r="FN77" s="45"/>
      <c r="FO77" s="45"/>
      <c r="FP77" s="45"/>
      <c r="FQ77" s="45"/>
      <c r="FR77" s="45"/>
      <c r="FS77" s="45"/>
      <c r="FT77" s="45"/>
      <c r="FU77" s="45"/>
      <c r="FV77" s="45"/>
      <c r="FW77" s="45"/>
      <c r="FX77" s="45"/>
      <c r="FY77" s="45"/>
      <c r="FZ77" s="45"/>
      <c r="GA77" s="45"/>
      <c r="GB77" s="45"/>
      <c r="GC77" s="45"/>
    </row>
    <row r="78" spans="1:185" ht="30" x14ac:dyDescent="0.25">
      <c r="A78" s="116" t="s">
        <v>80</v>
      </c>
      <c r="B78" s="251">
        <f>'2 уровень'!C172</f>
        <v>1260</v>
      </c>
      <c r="C78" s="251">
        <f>'2 уровень'!D172</f>
        <v>840</v>
      </c>
      <c r="D78" s="49">
        <f>'2 уровень'!E172</f>
        <v>403</v>
      </c>
      <c r="E78" s="252">
        <f>'2 уровень'!F172</f>
        <v>47.976190476190474</v>
      </c>
      <c r="F78" s="193">
        <f>'2 уровень'!G172</f>
        <v>2071.1687199999997</v>
      </c>
      <c r="G78" s="193">
        <f>'2 уровень'!H172</f>
        <v>1380.7800000000002</v>
      </c>
      <c r="H78" s="62">
        <f>'2 уровень'!I172</f>
        <v>666.06916000000001</v>
      </c>
      <c r="I78" s="193">
        <f>'2 уровень'!J172</f>
        <v>48.238615854806696</v>
      </c>
      <c r="J78" s="103"/>
      <c r="L78" s="727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  <c r="BH78" s="45"/>
      <c r="BI78" s="45"/>
      <c r="BJ78" s="45"/>
      <c r="BK78" s="45"/>
      <c r="BL78" s="45"/>
      <c r="BM78" s="45"/>
      <c r="BN78" s="45"/>
      <c r="BO78" s="45"/>
      <c r="BP78" s="45"/>
      <c r="BQ78" s="45"/>
      <c r="BR78" s="45"/>
      <c r="BS78" s="45"/>
      <c r="BT78" s="45"/>
      <c r="BU78" s="45"/>
      <c r="BV78" s="45"/>
      <c r="BW78" s="45"/>
      <c r="BX78" s="45"/>
      <c r="BY78" s="45"/>
      <c r="BZ78" s="45"/>
      <c r="CA78" s="45"/>
      <c r="CB78" s="45"/>
      <c r="CC78" s="45"/>
      <c r="CD78" s="45"/>
      <c r="CE78" s="45"/>
      <c r="CF78" s="45"/>
      <c r="CG78" s="45"/>
      <c r="CH78" s="45"/>
      <c r="CI78" s="45"/>
      <c r="CJ78" s="45"/>
      <c r="CK78" s="45"/>
      <c r="CL78" s="45"/>
      <c r="CM78" s="45"/>
      <c r="CN78" s="45"/>
      <c r="CO78" s="45"/>
      <c r="CP78" s="45"/>
      <c r="CQ78" s="45"/>
      <c r="CR78" s="45"/>
      <c r="CS78" s="45"/>
      <c r="CT78" s="45"/>
      <c r="CU78" s="45"/>
      <c r="CV78" s="45"/>
      <c r="CW78" s="45"/>
      <c r="CX78" s="45"/>
      <c r="CY78" s="45"/>
      <c r="CZ78" s="45"/>
      <c r="DA78" s="45"/>
      <c r="DB78" s="45"/>
      <c r="DC78" s="45"/>
      <c r="DD78" s="45"/>
      <c r="DE78" s="45"/>
      <c r="DF78" s="45"/>
      <c r="DG78" s="45"/>
      <c r="DH78" s="45"/>
      <c r="DI78" s="45"/>
      <c r="DJ78" s="45"/>
      <c r="DK78" s="45"/>
      <c r="DL78" s="45"/>
      <c r="DM78" s="45"/>
      <c r="DN78" s="45"/>
      <c r="DO78" s="45"/>
      <c r="DP78" s="45"/>
      <c r="DQ78" s="45"/>
      <c r="DR78" s="45"/>
      <c r="DS78" s="45"/>
      <c r="DT78" s="45"/>
      <c r="DU78" s="45"/>
      <c r="DV78" s="45"/>
      <c r="DW78" s="45"/>
      <c r="DX78" s="45"/>
      <c r="DY78" s="45"/>
      <c r="DZ78" s="45"/>
      <c r="EA78" s="45"/>
      <c r="EB78" s="45"/>
      <c r="EC78" s="45"/>
      <c r="ED78" s="45"/>
      <c r="EE78" s="45"/>
      <c r="EF78" s="45"/>
      <c r="EG78" s="45"/>
      <c r="EH78" s="45"/>
      <c r="EI78" s="45"/>
      <c r="EJ78" s="45"/>
      <c r="EK78" s="45"/>
      <c r="EL78" s="45"/>
      <c r="EM78" s="45"/>
      <c r="EN78" s="45"/>
      <c r="EO78" s="45"/>
      <c r="EP78" s="45"/>
      <c r="EQ78" s="45"/>
      <c r="ER78" s="45"/>
      <c r="ES78" s="45"/>
      <c r="ET78" s="45"/>
      <c r="EU78" s="45"/>
      <c r="EV78" s="45"/>
      <c r="EW78" s="45"/>
      <c r="EX78" s="45"/>
      <c r="EY78" s="45"/>
      <c r="EZ78" s="45"/>
      <c r="FA78" s="45"/>
      <c r="FB78" s="45"/>
      <c r="FC78" s="45"/>
      <c r="FD78" s="45"/>
      <c r="FE78" s="45"/>
      <c r="FF78" s="45"/>
      <c r="FG78" s="45"/>
      <c r="FH78" s="45"/>
      <c r="FI78" s="45"/>
      <c r="FJ78" s="45"/>
      <c r="FK78" s="45"/>
      <c r="FL78" s="45"/>
      <c r="FM78" s="45"/>
      <c r="FN78" s="45"/>
      <c r="FO78" s="45"/>
      <c r="FP78" s="45"/>
      <c r="FQ78" s="45"/>
      <c r="FR78" s="45"/>
      <c r="FS78" s="45"/>
      <c r="FT78" s="45"/>
      <c r="FU78" s="45"/>
      <c r="FV78" s="45"/>
      <c r="FW78" s="45"/>
      <c r="FX78" s="45"/>
      <c r="FY78" s="45"/>
      <c r="FZ78" s="45"/>
      <c r="GA78" s="45"/>
      <c r="GB78" s="45"/>
      <c r="GC78" s="45"/>
    </row>
    <row r="79" spans="1:185" ht="45" x14ac:dyDescent="0.25">
      <c r="A79" s="116" t="s">
        <v>130</v>
      </c>
      <c r="B79" s="251">
        <f>'2 уровень'!C173</f>
        <v>54</v>
      </c>
      <c r="C79" s="251">
        <f>'2 уровень'!D173</f>
        <v>36</v>
      </c>
      <c r="D79" s="49">
        <f>'2 уровень'!E173</f>
        <v>49</v>
      </c>
      <c r="E79" s="252">
        <f>'2 уровень'!F173</f>
        <v>136.11111111111111</v>
      </c>
      <c r="F79" s="193">
        <f>'2 уровень'!G173</f>
        <v>354.35232000000002</v>
      </c>
      <c r="G79" s="193">
        <f>'2 уровень'!H173</f>
        <v>236.23</v>
      </c>
      <c r="H79" s="62">
        <f>'2 уровень'!I173</f>
        <v>321.54192</v>
      </c>
      <c r="I79" s="193">
        <f>'2 уровень'!J173</f>
        <v>136.1139228717775</v>
      </c>
      <c r="J79" s="103"/>
      <c r="L79" s="727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  <c r="BM79" s="45"/>
      <c r="BN79" s="45"/>
      <c r="BO79" s="45"/>
      <c r="BP79" s="45"/>
      <c r="BQ79" s="45"/>
      <c r="BR79" s="45"/>
      <c r="BS79" s="45"/>
      <c r="BT79" s="45"/>
      <c r="BU79" s="45"/>
      <c r="BV79" s="45"/>
      <c r="BW79" s="45"/>
      <c r="BX79" s="45"/>
      <c r="BY79" s="45"/>
      <c r="BZ79" s="45"/>
      <c r="CA79" s="45"/>
      <c r="CB79" s="45"/>
      <c r="CC79" s="45"/>
      <c r="CD79" s="45"/>
      <c r="CE79" s="45"/>
      <c r="CF79" s="45"/>
      <c r="CG79" s="45"/>
      <c r="CH79" s="45"/>
      <c r="CI79" s="45"/>
      <c r="CJ79" s="45"/>
      <c r="CK79" s="45"/>
      <c r="CL79" s="45"/>
      <c r="CM79" s="45"/>
      <c r="CN79" s="45"/>
      <c r="CO79" s="45"/>
      <c r="CP79" s="45"/>
      <c r="CQ79" s="45"/>
      <c r="CR79" s="45"/>
      <c r="CS79" s="45"/>
      <c r="CT79" s="45"/>
      <c r="CU79" s="45"/>
      <c r="CV79" s="45"/>
      <c r="CW79" s="45"/>
      <c r="CX79" s="45"/>
      <c r="CY79" s="45"/>
      <c r="CZ79" s="45"/>
      <c r="DA79" s="45"/>
      <c r="DB79" s="45"/>
      <c r="DC79" s="45"/>
      <c r="DD79" s="45"/>
      <c r="DE79" s="45"/>
      <c r="DF79" s="45"/>
      <c r="DG79" s="45"/>
      <c r="DH79" s="45"/>
      <c r="DI79" s="45"/>
      <c r="DJ79" s="45"/>
      <c r="DK79" s="45"/>
      <c r="DL79" s="45"/>
      <c r="DM79" s="45"/>
      <c r="DN79" s="45"/>
      <c r="DO79" s="45"/>
      <c r="DP79" s="45"/>
      <c r="DQ79" s="45"/>
      <c r="DR79" s="45"/>
      <c r="DS79" s="45"/>
      <c r="DT79" s="45"/>
      <c r="DU79" s="45"/>
      <c r="DV79" s="45"/>
      <c r="DW79" s="45"/>
      <c r="DX79" s="45"/>
      <c r="DY79" s="45"/>
      <c r="DZ79" s="45"/>
      <c r="EA79" s="45"/>
      <c r="EB79" s="45"/>
      <c r="EC79" s="45"/>
      <c r="ED79" s="45"/>
      <c r="EE79" s="45"/>
      <c r="EF79" s="45"/>
      <c r="EG79" s="45"/>
      <c r="EH79" s="45"/>
      <c r="EI79" s="45"/>
      <c r="EJ79" s="45"/>
      <c r="EK79" s="45"/>
      <c r="EL79" s="45"/>
      <c r="EM79" s="45"/>
      <c r="EN79" s="45"/>
      <c r="EO79" s="45"/>
      <c r="EP79" s="45"/>
      <c r="EQ79" s="45"/>
      <c r="ER79" s="45"/>
      <c r="ES79" s="45"/>
      <c r="ET79" s="45"/>
      <c r="EU79" s="45"/>
      <c r="EV79" s="45"/>
      <c r="EW79" s="45"/>
      <c r="EX79" s="45"/>
      <c r="EY79" s="45"/>
      <c r="EZ79" s="45"/>
      <c r="FA79" s="45"/>
      <c r="FB79" s="45"/>
      <c r="FC79" s="45"/>
      <c r="FD79" s="45"/>
      <c r="FE79" s="45"/>
      <c r="FF79" s="45"/>
      <c r="FG79" s="45"/>
      <c r="FH79" s="45"/>
      <c r="FI79" s="45"/>
      <c r="FJ79" s="45"/>
      <c r="FK79" s="45"/>
      <c r="FL79" s="45"/>
      <c r="FM79" s="45"/>
      <c r="FN79" s="45"/>
      <c r="FO79" s="45"/>
      <c r="FP79" s="45"/>
      <c r="FQ79" s="45"/>
      <c r="FR79" s="45"/>
      <c r="FS79" s="45"/>
      <c r="FT79" s="45"/>
      <c r="FU79" s="45"/>
      <c r="FV79" s="45"/>
      <c r="FW79" s="45"/>
      <c r="FX79" s="45"/>
      <c r="FY79" s="45"/>
      <c r="FZ79" s="45"/>
      <c r="GA79" s="45"/>
      <c r="GB79" s="45"/>
      <c r="GC79" s="45"/>
    </row>
    <row r="80" spans="1:185" ht="30" x14ac:dyDescent="0.25">
      <c r="A80" s="116" t="s">
        <v>111</v>
      </c>
      <c r="B80" s="251">
        <f>'2 уровень'!C174</f>
        <v>180</v>
      </c>
      <c r="C80" s="251">
        <f>'2 уровень'!D174</f>
        <v>120</v>
      </c>
      <c r="D80" s="49">
        <f>'2 уровень'!E174</f>
        <v>60</v>
      </c>
      <c r="E80" s="252">
        <f>'2 уровень'!F174</f>
        <v>50</v>
      </c>
      <c r="F80" s="193">
        <f>'2 уровень'!G174</f>
        <v>1181.1743999999999</v>
      </c>
      <c r="G80" s="193">
        <f>'2 уровень'!H174</f>
        <v>787.45</v>
      </c>
      <c r="H80" s="62">
        <f>'2 уровень'!I174</f>
        <v>349.75770999999997</v>
      </c>
      <c r="I80" s="193">
        <f>'2 уровень'!J174</f>
        <v>44.416497555400333</v>
      </c>
      <c r="J80" s="103"/>
      <c r="L80" s="727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  <c r="BM80" s="45"/>
      <c r="BN80" s="45"/>
      <c r="BO80" s="45"/>
      <c r="BP80" s="45"/>
      <c r="BQ80" s="45"/>
      <c r="BR80" s="45"/>
      <c r="BS80" s="45"/>
      <c r="BT80" s="45"/>
      <c r="BU80" s="45"/>
      <c r="BV80" s="45"/>
      <c r="BW80" s="45"/>
      <c r="BX80" s="45"/>
      <c r="BY80" s="45"/>
      <c r="BZ80" s="45"/>
      <c r="CA80" s="45"/>
      <c r="CB80" s="45"/>
      <c r="CC80" s="45"/>
      <c r="CD80" s="45"/>
      <c r="CE80" s="45"/>
      <c r="CF80" s="45"/>
      <c r="CG80" s="45"/>
      <c r="CH80" s="45"/>
      <c r="CI80" s="45"/>
      <c r="CJ80" s="45"/>
      <c r="CK80" s="45"/>
      <c r="CL80" s="45"/>
      <c r="CM80" s="45"/>
      <c r="CN80" s="45"/>
      <c r="CO80" s="45"/>
      <c r="CP80" s="45"/>
      <c r="CQ80" s="45"/>
      <c r="CR80" s="45"/>
      <c r="CS80" s="45"/>
      <c r="CT80" s="45"/>
      <c r="CU80" s="45"/>
      <c r="CV80" s="45"/>
      <c r="CW80" s="45"/>
      <c r="CX80" s="45"/>
      <c r="CY80" s="45"/>
      <c r="CZ80" s="45"/>
      <c r="DA80" s="45"/>
      <c r="DB80" s="45"/>
      <c r="DC80" s="45"/>
      <c r="DD80" s="45"/>
      <c r="DE80" s="45"/>
      <c r="DF80" s="45"/>
      <c r="DG80" s="45"/>
      <c r="DH80" s="45"/>
      <c r="DI80" s="45"/>
      <c r="DJ80" s="45"/>
      <c r="DK80" s="45"/>
      <c r="DL80" s="45"/>
      <c r="DM80" s="45"/>
      <c r="DN80" s="45"/>
      <c r="DO80" s="45"/>
      <c r="DP80" s="45"/>
      <c r="DQ80" s="45"/>
      <c r="DR80" s="45"/>
      <c r="DS80" s="45"/>
      <c r="DT80" s="45"/>
      <c r="DU80" s="45"/>
      <c r="DV80" s="45"/>
      <c r="DW80" s="45"/>
      <c r="DX80" s="45"/>
      <c r="DY80" s="45"/>
      <c r="DZ80" s="45"/>
      <c r="EA80" s="45"/>
      <c r="EB80" s="45"/>
      <c r="EC80" s="45"/>
      <c r="ED80" s="45"/>
      <c r="EE80" s="45"/>
      <c r="EF80" s="45"/>
      <c r="EG80" s="45"/>
      <c r="EH80" s="45"/>
      <c r="EI80" s="45"/>
      <c r="EJ80" s="45"/>
      <c r="EK80" s="45"/>
      <c r="EL80" s="45"/>
      <c r="EM80" s="45"/>
      <c r="EN80" s="45"/>
      <c r="EO80" s="45"/>
      <c r="EP80" s="45"/>
      <c r="EQ80" s="45"/>
      <c r="ER80" s="45"/>
      <c r="ES80" s="45"/>
      <c r="ET80" s="45"/>
      <c r="EU80" s="45"/>
      <c r="EV80" s="45"/>
      <c r="EW80" s="45"/>
      <c r="EX80" s="45"/>
      <c r="EY80" s="45"/>
      <c r="EZ80" s="45"/>
      <c r="FA80" s="45"/>
      <c r="FB80" s="45"/>
      <c r="FC80" s="45"/>
      <c r="FD80" s="45"/>
      <c r="FE80" s="45"/>
      <c r="FF80" s="45"/>
      <c r="FG80" s="45"/>
      <c r="FH80" s="45"/>
      <c r="FI80" s="45"/>
      <c r="FJ80" s="45"/>
      <c r="FK80" s="45"/>
      <c r="FL80" s="45"/>
      <c r="FM80" s="45"/>
      <c r="FN80" s="45"/>
      <c r="FO80" s="45"/>
      <c r="FP80" s="45"/>
      <c r="FQ80" s="45"/>
      <c r="FR80" s="45"/>
      <c r="FS80" s="45"/>
      <c r="FT80" s="45"/>
      <c r="FU80" s="45"/>
      <c r="FV80" s="45"/>
      <c r="FW80" s="45"/>
      <c r="FX80" s="45"/>
      <c r="FY80" s="45"/>
      <c r="FZ80" s="45"/>
      <c r="GA80" s="45"/>
      <c r="GB80" s="45"/>
      <c r="GC80" s="45"/>
    </row>
    <row r="81" spans="1:185" ht="30" x14ac:dyDescent="0.25">
      <c r="A81" s="542" t="s">
        <v>112</v>
      </c>
      <c r="B81" s="539">
        <f>'2 уровень'!C175</f>
        <v>6994</v>
      </c>
      <c r="C81" s="539">
        <f>'2 уровень'!D175</f>
        <v>4662</v>
      </c>
      <c r="D81" s="539">
        <f>'2 уровень'!E175</f>
        <v>2744</v>
      </c>
      <c r="E81" s="540">
        <f>'2 уровень'!F175</f>
        <v>96.347514845847229</v>
      </c>
      <c r="F81" s="543">
        <f>'2 уровень'!G175</f>
        <v>15168.001750000001</v>
      </c>
      <c r="G81" s="543">
        <f>'2 уровень'!H175</f>
        <v>10111.999999999998</v>
      </c>
      <c r="H81" s="543">
        <f>'2 уровень'!I175</f>
        <v>6197.8650500000012</v>
      </c>
      <c r="I81" s="543">
        <f>'2 уровень'!J175</f>
        <v>61.292178105221538</v>
      </c>
      <c r="J81" s="103"/>
      <c r="L81" s="727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  <c r="BM81" s="45"/>
      <c r="BN81" s="45"/>
      <c r="BO81" s="45"/>
      <c r="BP81" s="45"/>
      <c r="BQ81" s="45"/>
      <c r="BR81" s="45"/>
      <c r="BS81" s="45"/>
      <c r="BT81" s="45"/>
      <c r="BU81" s="45"/>
      <c r="BV81" s="45"/>
      <c r="BW81" s="45"/>
      <c r="BX81" s="45"/>
      <c r="BY81" s="45"/>
      <c r="BZ81" s="45"/>
      <c r="CA81" s="45"/>
      <c r="CB81" s="45"/>
      <c r="CC81" s="45"/>
      <c r="CD81" s="45"/>
      <c r="CE81" s="45"/>
      <c r="CF81" s="45"/>
      <c r="CG81" s="45"/>
      <c r="CH81" s="45"/>
      <c r="CI81" s="45"/>
      <c r="CJ81" s="45"/>
      <c r="CK81" s="45"/>
      <c r="CL81" s="45"/>
      <c r="CM81" s="45"/>
      <c r="CN81" s="45"/>
      <c r="CO81" s="45"/>
      <c r="CP81" s="45"/>
      <c r="CQ81" s="45"/>
      <c r="CR81" s="45"/>
      <c r="CS81" s="45"/>
      <c r="CT81" s="45"/>
      <c r="CU81" s="45"/>
      <c r="CV81" s="45"/>
      <c r="CW81" s="45"/>
      <c r="CX81" s="45"/>
      <c r="CY81" s="45"/>
      <c r="CZ81" s="45"/>
      <c r="DA81" s="45"/>
      <c r="DB81" s="45"/>
      <c r="DC81" s="45"/>
      <c r="DD81" s="45"/>
      <c r="DE81" s="45"/>
      <c r="DF81" s="45"/>
      <c r="DG81" s="45"/>
      <c r="DH81" s="45"/>
      <c r="DI81" s="45"/>
      <c r="DJ81" s="45"/>
      <c r="DK81" s="45"/>
      <c r="DL81" s="45"/>
      <c r="DM81" s="45"/>
      <c r="DN81" s="45"/>
      <c r="DO81" s="45"/>
      <c r="DP81" s="45"/>
      <c r="DQ81" s="45"/>
      <c r="DR81" s="45"/>
      <c r="DS81" s="45"/>
      <c r="DT81" s="45"/>
      <c r="DU81" s="45"/>
      <c r="DV81" s="45"/>
      <c r="DW81" s="45"/>
      <c r="DX81" s="45"/>
      <c r="DY81" s="45"/>
      <c r="DZ81" s="45"/>
      <c r="EA81" s="45"/>
      <c r="EB81" s="45"/>
      <c r="EC81" s="45"/>
      <c r="ED81" s="45"/>
      <c r="EE81" s="45"/>
      <c r="EF81" s="45"/>
      <c r="EG81" s="45"/>
      <c r="EH81" s="45"/>
      <c r="EI81" s="45"/>
      <c r="EJ81" s="45"/>
      <c r="EK81" s="45"/>
      <c r="EL81" s="45"/>
      <c r="EM81" s="45"/>
      <c r="EN81" s="45"/>
      <c r="EO81" s="45"/>
      <c r="EP81" s="45"/>
      <c r="EQ81" s="45"/>
      <c r="ER81" s="45"/>
      <c r="ES81" s="45"/>
      <c r="ET81" s="45"/>
      <c r="EU81" s="45"/>
      <c r="EV81" s="45"/>
      <c r="EW81" s="45"/>
      <c r="EX81" s="45"/>
      <c r="EY81" s="45"/>
      <c r="EZ81" s="45"/>
      <c r="FA81" s="45"/>
      <c r="FB81" s="45"/>
      <c r="FC81" s="45"/>
      <c r="FD81" s="45"/>
      <c r="FE81" s="45"/>
      <c r="FF81" s="45"/>
      <c r="FG81" s="45"/>
      <c r="FH81" s="45"/>
      <c r="FI81" s="45"/>
      <c r="FJ81" s="45"/>
      <c r="FK81" s="45"/>
      <c r="FL81" s="45"/>
      <c r="FM81" s="45"/>
      <c r="FN81" s="45"/>
      <c r="FO81" s="45"/>
      <c r="FP81" s="45"/>
      <c r="FQ81" s="45"/>
      <c r="FR81" s="45"/>
      <c r="FS81" s="45"/>
      <c r="FT81" s="45"/>
      <c r="FU81" s="45"/>
      <c r="FV81" s="45"/>
      <c r="FW81" s="45"/>
      <c r="FX81" s="45"/>
      <c r="FY81" s="45"/>
      <c r="FZ81" s="45"/>
      <c r="GA81" s="45"/>
      <c r="GB81" s="45"/>
      <c r="GC81" s="45"/>
    </row>
    <row r="82" spans="1:185" ht="30" x14ac:dyDescent="0.25">
      <c r="A82" s="116" t="s">
        <v>108</v>
      </c>
      <c r="B82" s="251">
        <f>'2 уровень'!C176</f>
        <v>1138</v>
      </c>
      <c r="C82" s="251">
        <f>'2 уровень'!D176</f>
        <v>758</v>
      </c>
      <c r="D82" s="49">
        <f>'2 уровень'!E176</f>
        <v>458</v>
      </c>
      <c r="E82" s="252">
        <f>'2 уровень'!F176</f>
        <v>102.28210526315789</v>
      </c>
      <c r="F82" s="193">
        <f>'2 уровень'!G176</f>
        <v>2413.1403799999998</v>
      </c>
      <c r="G82" s="193">
        <f>'2 уровень'!H176</f>
        <v>1608.76</v>
      </c>
      <c r="H82" s="62">
        <f>'2 уровень'!I176</f>
        <v>974.97800000000007</v>
      </c>
      <c r="I82" s="193">
        <f>'2 уровень'!J176</f>
        <v>60.604316367885822</v>
      </c>
      <c r="J82" s="103"/>
      <c r="L82" s="727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  <c r="BH82" s="45"/>
      <c r="BI82" s="45"/>
      <c r="BJ82" s="45"/>
      <c r="BK82" s="45"/>
      <c r="BL82" s="45"/>
      <c r="BM82" s="45"/>
      <c r="BN82" s="45"/>
      <c r="BO82" s="45"/>
      <c r="BP82" s="45"/>
      <c r="BQ82" s="45"/>
      <c r="BR82" s="45"/>
      <c r="BS82" s="45"/>
      <c r="BT82" s="45"/>
      <c r="BU82" s="45"/>
      <c r="BV82" s="45"/>
      <c r="BW82" s="45"/>
      <c r="BX82" s="45"/>
      <c r="BY82" s="45"/>
      <c r="BZ82" s="45"/>
      <c r="CA82" s="45"/>
      <c r="CB82" s="45"/>
      <c r="CC82" s="45"/>
      <c r="CD82" s="45"/>
      <c r="CE82" s="45"/>
      <c r="CF82" s="45"/>
      <c r="CG82" s="45"/>
      <c r="CH82" s="45"/>
      <c r="CI82" s="45"/>
      <c r="CJ82" s="45"/>
      <c r="CK82" s="45"/>
      <c r="CL82" s="45"/>
      <c r="CM82" s="45"/>
      <c r="CN82" s="45"/>
      <c r="CO82" s="45"/>
      <c r="CP82" s="45"/>
      <c r="CQ82" s="45"/>
      <c r="CR82" s="45"/>
      <c r="CS82" s="45"/>
      <c r="CT82" s="45"/>
      <c r="CU82" s="45"/>
      <c r="CV82" s="45"/>
      <c r="CW82" s="45"/>
      <c r="CX82" s="45"/>
      <c r="CY82" s="45"/>
      <c r="CZ82" s="45"/>
      <c r="DA82" s="45"/>
      <c r="DB82" s="45"/>
      <c r="DC82" s="45"/>
      <c r="DD82" s="45"/>
      <c r="DE82" s="45"/>
      <c r="DF82" s="45"/>
      <c r="DG82" s="45"/>
      <c r="DH82" s="45"/>
      <c r="DI82" s="45"/>
      <c r="DJ82" s="45"/>
      <c r="DK82" s="45"/>
      <c r="DL82" s="45"/>
      <c r="DM82" s="45"/>
      <c r="DN82" s="45"/>
      <c r="DO82" s="45"/>
      <c r="DP82" s="45"/>
      <c r="DQ82" s="45"/>
      <c r="DR82" s="45"/>
      <c r="DS82" s="45"/>
      <c r="DT82" s="45"/>
      <c r="DU82" s="45"/>
      <c r="DV82" s="45"/>
      <c r="DW82" s="45"/>
      <c r="DX82" s="45"/>
      <c r="DY82" s="45"/>
      <c r="DZ82" s="45"/>
      <c r="EA82" s="45"/>
      <c r="EB82" s="45"/>
      <c r="EC82" s="45"/>
      <c r="ED82" s="45"/>
      <c r="EE82" s="45"/>
      <c r="EF82" s="45"/>
      <c r="EG82" s="45"/>
      <c r="EH82" s="45"/>
      <c r="EI82" s="45"/>
      <c r="EJ82" s="45"/>
      <c r="EK82" s="45"/>
      <c r="EL82" s="45"/>
      <c r="EM82" s="45"/>
      <c r="EN82" s="45"/>
      <c r="EO82" s="45"/>
      <c r="EP82" s="45"/>
      <c r="EQ82" s="45"/>
      <c r="ER82" s="45"/>
      <c r="ES82" s="45"/>
      <c r="ET82" s="45"/>
      <c r="EU82" s="45"/>
      <c r="EV82" s="45"/>
      <c r="EW82" s="45"/>
      <c r="EX82" s="45"/>
      <c r="EY82" s="45"/>
      <c r="EZ82" s="45"/>
      <c r="FA82" s="45"/>
      <c r="FB82" s="45"/>
      <c r="FC82" s="45"/>
      <c r="FD82" s="45"/>
      <c r="FE82" s="45"/>
      <c r="FF82" s="45"/>
      <c r="FG82" s="45"/>
      <c r="FH82" s="45"/>
      <c r="FI82" s="45"/>
      <c r="FJ82" s="45"/>
      <c r="FK82" s="45"/>
      <c r="FL82" s="45"/>
      <c r="FM82" s="45"/>
      <c r="FN82" s="45"/>
      <c r="FO82" s="45"/>
      <c r="FP82" s="45"/>
      <c r="FQ82" s="45"/>
      <c r="FR82" s="45"/>
      <c r="FS82" s="45"/>
      <c r="FT82" s="45"/>
      <c r="FU82" s="45"/>
      <c r="FV82" s="45"/>
      <c r="FW82" s="45"/>
      <c r="FX82" s="45"/>
      <c r="FY82" s="45"/>
      <c r="FZ82" s="45"/>
      <c r="GA82" s="45"/>
      <c r="GB82" s="45"/>
      <c r="GC82" s="45"/>
    </row>
    <row r="83" spans="1:185" ht="60" x14ac:dyDescent="0.25">
      <c r="A83" s="116" t="s">
        <v>81</v>
      </c>
      <c r="B83" s="251">
        <f>'2 уровень'!C177</f>
        <v>5141</v>
      </c>
      <c r="C83" s="251">
        <f>'2 уровень'!D177</f>
        <v>3427</v>
      </c>
      <c r="D83" s="49">
        <f>'2 уровень'!E177</f>
        <v>1527</v>
      </c>
      <c r="E83" s="252">
        <f>'2 уровень'!F177</f>
        <v>44.557922381091338</v>
      </c>
      <c r="F83" s="193">
        <f>'2 уровень'!G177</f>
        <v>12054.046970000001</v>
      </c>
      <c r="G83" s="193">
        <f>'2 уровень'!H177</f>
        <v>8036.03</v>
      </c>
      <c r="H83" s="62">
        <f>'2 уровень'!I177</f>
        <v>4409.4143500000009</v>
      </c>
      <c r="I83" s="193">
        <f>'2 уровень'!J177</f>
        <v>54.870556107928927</v>
      </c>
      <c r="J83" s="103"/>
      <c r="L83" s="727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  <c r="BM83" s="45"/>
      <c r="BN83" s="45"/>
      <c r="BO83" s="45"/>
      <c r="BP83" s="45"/>
      <c r="BQ83" s="45"/>
      <c r="BR83" s="45"/>
      <c r="BS83" s="45"/>
      <c r="BT83" s="45"/>
      <c r="BU83" s="45"/>
      <c r="BV83" s="45"/>
      <c r="BW83" s="45"/>
      <c r="BX83" s="45"/>
      <c r="BY83" s="45"/>
      <c r="BZ83" s="45"/>
      <c r="CA83" s="45"/>
      <c r="CB83" s="45"/>
      <c r="CC83" s="45"/>
      <c r="CD83" s="45"/>
      <c r="CE83" s="45"/>
      <c r="CF83" s="45"/>
      <c r="CG83" s="45"/>
      <c r="CH83" s="45"/>
      <c r="CI83" s="45"/>
      <c r="CJ83" s="45"/>
      <c r="CK83" s="45"/>
      <c r="CL83" s="45"/>
      <c r="CM83" s="45"/>
      <c r="CN83" s="45"/>
      <c r="CO83" s="45"/>
      <c r="CP83" s="45"/>
      <c r="CQ83" s="45"/>
      <c r="CR83" s="45"/>
      <c r="CS83" s="45"/>
      <c r="CT83" s="45"/>
      <c r="CU83" s="45"/>
      <c r="CV83" s="45"/>
      <c r="CW83" s="45"/>
      <c r="CX83" s="45"/>
      <c r="CY83" s="45"/>
      <c r="CZ83" s="45"/>
      <c r="DA83" s="45"/>
      <c r="DB83" s="45"/>
      <c r="DC83" s="45"/>
      <c r="DD83" s="45"/>
      <c r="DE83" s="45"/>
      <c r="DF83" s="45"/>
      <c r="DG83" s="45"/>
      <c r="DH83" s="45"/>
      <c r="DI83" s="45"/>
      <c r="DJ83" s="45"/>
      <c r="DK83" s="45"/>
      <c r="DL83" s="45"/>
      <c r="DM83" s="45"/>
      <c r="DN83" s="45"/>
      <c r="DO83" s="45"/>
      <c r="DP83" s="45"/>
      <c r="DQ83" s="45"/>
      <c r="DR83" s="45"/>
      <c r="DS83" s="45"/>
      <c r="DT83" s="45"/>
      <c r="DU83" s="45"/>
      <c r="DV83" s="45"/>
      <c r="DW83" s="45"/>
      <c r="DX83" s="45"/>
      <c r="DY83" s="45"/>
      <c r="DZ83" s="45"/>
      <c r="EA83" s="45"/>
      <c r="EB83" s="45"/>
      <c r="EC83" s="45"/>
      <c r="ED83" s="45"/>
      <c r="EE83" s="45"/>
      <c r="EF83" s="45"/>
      <c r="EG83" s="45"/>
      <c r="EH83" s="45"/>
      <c r="EI83" s="45"/>
      <c r="EJ83" s="45"/>
      <c r="EK83" s="45"/>
      <c r="EL83" s="45"/>
      <c r="EM83" s="45"/>
      <c r="EN83" s="45"/>
      <c r="EO83" s="45"/>
      <c r="EP83" s="45"/>
      <c r="EQ83" s="45"/>
      <c r="ER83" s="45"/>
      <c r="ES83" s="45"/>
      <c r="ET83" s="45"/>
      <c r="EU83" s="45"/>
      <c r="EV83" s="45"/>
      <c r="EW83" s="45"/>
      <c r="EX83" s="45"/>
      <c r="EY83" s="45"/>
      <c r="EZ83" s="45"/>
      <c r="FA83" s="45"/>
      <c r="FB83" s="45"/>
      <c r="FC83" s="45"/>
      <c r="FD83" s="45"/>
      <c r="FE83" s="45"/>
      <c r="FF83" s="45"/>
      <c r="FG83" s="45"/>
      <c r="FH83" s="45"/>
      <c r="FI83" s="45"/>
      <c r="FJ83" s="45"/>
      <c r="FK83" s="45"/>
      <c r="FL83" s="45"/>
      <c r="FM83" s="45"/>
      <c r="FN83" s="45"/>
      <c r="FO83" s="45"/>
      <c r="FP83" s="45"/>
      <c r="FQ83" s="45"/>
      <c r="FR83" s="45"/>
      <c r="FS83" s="45"/>
      <c r="FT83" s="45"/>
      <c r="FU83" s="45"/>
      <c r="FV83" s="45"/>
      <c r="FW83" s="45"/>
      <c r="FX83" s="45"/>
      <c r="FY83" s="45"/>
      <c r="FZ83" s="45"/>
      <c r="GA83" s="45"/>
      <c r="GB83" s="45"/>
      <c r="GC83" s="45"/>
    </row>
    <row r="84" spans="1:185" ht="45" x14ac:dyDescent="0.25">
      <c r="A84" s="116" t="s">
        <v>109</v>
      </c>
      <c r="B84" s="251">
        <f>'2 уровень'!C178</f>
        <v>715</v>
      </c>
      <c r="C84" s="251">
        <f>'2 уровень'!D178</f>
        <v>477</v>
      </c>
      <c r="D84" s="49">
        <f>'2 уровень'!E178</f>
        <v>759</v>
      </c>
      <c r="E84" s="252">
        <f>'2 уровень'!F178</f>
        <v>159.11949685534591</v>
      </c>
      <c r="F84" s="193">
        <f>'2 уровень'!G178</f>
        <v>700.81439999999998</v>
      </c>
      <c r="G84" s="193">
        <f>'2 уровень'!H178</f>
        <v>467.21</v>
      </c>
      <c r="H84" s="62">
        <f>'2 уровень'!I178</f>
        <v>813.47269999999992</v>
      </c>
      <c r="I84" s="193">
        <f>'2 уровень'!J178</f>
        <v>174.11286145416406</v>
      </c>
      <c r="J84" s="103"/>
      <c r="L84" s="727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  <c r="AT84" s="45"/>
      <c r="AU84" s="45"/>
      <c r="AV84" s="45"/>
      <c r="AW84" s="45"/>
      <c r="AX84" s="45"/>
      <c r="AY84" s="45"/>
      <c r="AZ84" s="45"/>
      <c r="BA84" s="45"/>
      <c r="BB84" s="45"/>
      <c r="BC84" s="45"/>
      <c r="BD84" s="45"/>
      <c r="BE84" s="45"/>
      <c r="BF84" s="45"/>
      <c r="BG84" s="45"/>
      <c r="BH84" s="45"/>
      <c r="BI84" s="45"/>
      <c r="BJ84" s="45"/>
      <c r="BK84" s="45"/>
      <c r="BL84" s="45"/>
      <c r="BM84" s="45"/>
      <c r="BN84" s="45"/>
      <c r="BO84" s="45"/>
      <c r="BP84" s="45"/>
      <c r="BQ84" s="45"/>
      <c r="BR84" s="45"/>
      <c r="BS84" s="45"/>
      <c r="BT84" s="45"/>
      <c r="BU84" s="45"/>
      <c r="BV84" s="45"/>
      <c r="BW84" s="45"/>
      <c r="BX84" s="45"/>
      <c r="BY84" s="45"/>
      <c r="BZ84" s="45"/>
      <c r="CA84" s="45"/>
      <c r="CB84" s="45"/>
      <c r="CC84" s="45"/>
      <c r="CD84" s="45"/>
      <c r="CE84" s="45"/>
      <c r="CF84" s="45"/>
      <c r="CG84" s="45"/>
      <c r="CH84" s="45"/>
      <c r="CI84" s="45"/>
      <c r="CJ84" s="45"/>
      <c r="CK84" s="45"/>
      <c r="CL84" s="45"/>
      <c r="CM84" s="45"/>
      <c r="CN84" s="45"/>
      <c r="CO84" s="45"/>
      <c r="CP84" s="45"/>
      <c r="CQ84" s="45"/>
      <c r="CR84" s="45"/>
      <c r="CS84" s="45"/>
      <c r="CT84" s="45"/>
      <c r="CU84" s="45"/>
      <c r="CV84" s="45"/>
      <c r="CW84" s="45"/>
      <c r="CX84" s="45"/>
      <c r="CY84" s="45"/>
      <c r="CZ84" s="45"/>
      <c r="DA84" s="45"/>
      <c r="DB84" s="45"/>
      <c r="DC84" s="45"/>
      <c r="DD84" s="45"/>
      <c r="DE84" s="45"/>
      <c r="DF84" s="45"/>
      <c r="DG84" s="45"/>
      <c r="DH84" s="45"/>
      <c r="DI84" s="45"/>
      <c r="DJ84" s="45"/>
      <c r="DK84" s="45"/>
      <c r="DL84" s="45"/>
      <c r="DM84" s="45"/>
      <c r="DN84" s="45"/>
      <c r="DO84" s="45"/>
      <c r="DP84" s="45"/>
      <c r="DQ84" s="45"/>
      <c r="DR84" s="45"/>
      <c r="DS84" s="45"/>
      <c r="DT84" s="45"/>
      <c r="DU84" s="45"/>
      <c r="DV84" s="45"/>
      <c r="DW84" s="45"/>
      <c r="DX84" s="45"/>
      <c r="DY84" s="45"/>
      <c r="DZ84" s="45"/>
      <c r="EA84" s="45"/>
      <c r="EB84" s="45"/>
      <c r="EC84" s="45"/>
      <c r="ED84" s="45"/>
      <c r="EE84" s="45"/>
      <c r="EF84" s="45"/>
      <c r="EG84" s="45"/>
      <c r="EH84" s="45"/>
      <c r="EI84" s="45"/>
      <c r="EJ84" s="45"/>
      <c r="EK84" s="45"/>
      <c r="EL84" s="45"/>
      <c r="EM84" s="45"/>
      <c r="EN84" s="45"/>
      <c r="EO84" s="45"/>
      <c r="EP84" s="45"/>
      <c r="EQ84" s="45"/>
      <c r="ER84" s="45"/>
      <c r="ES84" s="45"/>
      <c r="ET84" s="45"/>
      <c r="EU84" s="45"/>
      <c r="EV84" s="45"/>
      <c r="EW84" s="45"/>
      <c r="EX84" s="45"/>
      <c r="EY84" s="45"/>
      <c r="EZ84" s="45"/>
      <c r="FA84" s="45"/>
      <c r="FB84" s="45"/>
      <c r="FC84" s="45"/>
      <c r="FD84" s="45"/>
      <c r="FE84" s="45"/>
      <c r="FF84" s="45"/>
      <c r="FG84" s="45"/>
      <c r="FH84" s="45"/>
      <c r="FI84" s="45"/>
      <c r="FJ84" s="45"/>
      <c r="FK84" s="45"/>
      <c r="FL84" s="45"/>
      <c r="FM84" s="45"/>
      <c r="FN84" s="45"/>
      <c r="FO84" s="45"/>
      <c r="FP84" s="45"/>
      <c r="FQ84" s="45"/>
      <c r="FR84" s="45"/>
      <c r="FS84" s="45"/>
      <c r="FT84" s="45"/>
      <c r="FU84" s="45"/>
      <c r="FV84" s="45"/>
      <c r="FW84" s="45"/>
      <c r="FX84" s="45"/>
      <c r="FY84" s="45"/>
      <c r="FZ84" s="45"/>
      <c r="GA84" s="45"/>
      <c r="GB84" s="45"/>
      <c r="GC84" s="45"/>
    </row>
    <row r="85" spans="1:185" ht="30" x14ac:dyDescent="0.25">
      <c r="A85" s="658" t="s">
        <v>123</v>
      </c>
      <c r="B85" s="558">
        <f>'2 уровень'!C179</f>
        <v>14487</v>
      </c>
      <c r="C85" s="558">
        <f>'2 уровень'!D179</f>
        <v>9658</v>
      </c>
      <c r="D85" s="544">
        <f>'2 уровень'!E179</f>
        <v>4110</v>
      </c>
      <c r="E85" s="559">
        <f>'2 уровень'!F179</f>
        <v>39.773106439773102</v>
      </c>
      <c r="F85" s="547">
        <f>'2 уровень'!G179</f>
        <v>14099.038140000001</v>
      </c>
      <c r="G85" s="547">
        <f>'2 уровень'!H179</f>
        <v>9399.3599999999988</v>
      </c>
      <c r="H85" s="546">
        <f>'2 уровень'!I179</f>
        <v>3911.9546399999999</v>
      </c>
      <c r="I85" s="547">
        <f>'2 уровень'!J179</f>
        <v>41.619372382800535</v>
      </c>
      <c r="J85" s="103"/>
      <c r="K85" s="103"/>
      <c r="L85" s="103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  <c r="AT85" s="45"/>
      <c r="AU85" s="45"/>
      <c r="AV85" s="45"/>
      <c r="AW85" s="45"/>
      <c r="AX85" s="45"/>
      <c r="AY85" s="45"/>
      <c r="AZ85" s="45"/>
      <c r="BA85" s="45"/>
      <c r="BB85" s="45"/>
      <c r="BC85" s="45"/>
      <c r="BD85" s="45"/>
      <c r="BE85" s="45"/>
      <c r="BF85" s="45"/>
      <c r="BG85" s="45"/>
      <c r="BH85" s="45"/>
      <c r="BI85" s="45"/>
      <c r="BJ85" s="45"/>
      <c r="BK85" s="45"/>
      <c r="BL85" s="45"/>
      <c r="BM85" s="45"/>
      <c r="BN85" s="45"/>
      <c r="BO85" s="45"/>
      <c r="BP85" s="45"/>
      <c r="BQ85" s="45"/>
      <c r="BR85" s="45"/>
      <c r="BS85" s="45"/>
      <c r="BT85" s="45"/>
      <c r="BU85" s="45"/>
      <c r="BV85" s="45"/>
      <c r="BW85" s="45"/>
      <c r="BX85" s="45"/>
      <c r="BY85" s="45"/>
      <c r="BZ85" s="45"/>
      <c r="CA85" s="45"/>
      <c r="CB85" s="45"/>
      <c r="CC85" s="45"/>
      <c r="CD85" s="45"/>
      <c r="CE85" s="45"/>
      <c r="CF85" s="45"/>
      <c r="CG85" s="45"/>
      <c r="CH85" s="45"/>
      <c r="CI85" s="45"/>
      <c r="CJ85" s="45"/>
      <c r="CK85" s="45"/>
      <c r="CL85" s="45"/>
      <c r="CM85" s="45"/>
      <c r="CN85" s="45"/>
      <c r="CO85" s="45"/>
      <c r="CP85" s="45"/>
      <c r="CQ85" s="45"/>
      <c r="CR85" s="45"/>
      <c r="CS85" s="45"/>
      <c r="CT85" s="45"/>
      <c r="CU85" s="45"/>
      <c r="CV85" s="45"/>
      <c r="CW85" s="45"/>
      <c r="CX85" s="45"/>
      <c r="CY85" s="45"/>
      <c r="CZ85" s="45"/>
      <c r="DA85" s="45"/>
      <c r="DB85" s="45"/>
      <c r="DC85" s="45"/>
      <c r="DD85" s="45"/>
      <c r="DE85" s="45"/>
      <c r="DF85" s="45"/>
      <c r="DG85" s="45"/>
      <c r="DH85" s="45"/>
      <c r="DI85" s="45"/>
      <c r="DJ85" s="45"/>
      <c r="DK85" s="45"/>
      <c r="DL85" s="45"/>
      <c r="DM85" s="45"/>
      <c r="DN85" s="45"/>
      <c r="DO85" s="45"/>
      <c r="DP85" s="45"/>
      <c r="DQ85" s="45"/>
      <c r="DR85" s="45"/>
      <c r="DS85" s="45"/>
      <c r="DT85" s="45"/>
      <c r="DU85" s="45"/>
      <c r="DV85" s="45"/>
      <c r="DW85" s="45"/>
      <c r="DX85" s="45"/>
      <c r="DY85" s="45"/>
      <c r="DZ85" s="45"/>
      <c r="EA85" s="45"/>
      <c r="EB85" s="45"/>
      <c r="EC85" s="45"/>
      <c r="ED85" s="45"/>
      <c r="EE85" s="45"/>
      <c r="EF85" s="45"/>
      <c r="EG85" s="45"/>
      <c r="EH85" s="45"/>
      <c r="EI85" s="45"/>
      <c r="EJ85" s="45"/>
      <c r="EK85" s="45"/>
      <c r="EL85" s="45"/>
      <c r="EM85" s="45"/>
      <c r="EN85" s="45"/>
      <c r="EO85" s="45"/>
      <c r="EP85" s="45"/>
      <c r="EQ85" s="45"/>
      <c r="ER85" s="45"/>
      <c r="ES85" s="45"/>
      <c r="ET85" s="45"/>
      <c r="EU85" s="45"/>
      <c r="EV85" s="45"/>
      <c r="EW85" s="45"/>
      <c r="EX85" s="45"/>
      <c r="EY85" s="45"/>
      <c r="EZ85" s="45"/>
      <c r="FA85" s="45"/>
      <c r="FB85" s="45"/>
      <c r="FC85" s="45"/>
      <c r="FD85" s="45"/>
      <c r="FE85" s="45"/>
      <c r="FF85" s="45"/>
      <c r="FG85" s="45"/>
      <c r="FH85" s="45"/>
      <c r="FI85" s="45"/>
      <c r="FJ85" s="45"/>
      <c r="FK85" s="45"/>
      <c r="FL85" s="45"/>
      <c r="FM85" s="45"/>
      <c r="FN85" s="45"/>
      <c r="FO85" s="45"/>
      <c r="FP85" s="45"/>
      <c r="FQ85" s="45"/>
      <c r="FR85" s="45"/>
      <c r="FS85" s="45"/>
      <c r="FT85" s="45"/>
      <c r="FU85" s="45"/>
      <c r="FV85" s="45"/>
      <c r="FW85" s="45"/>
      <c r="FX85" s="45"/>
      <c r="FY85" s="45"/>
      <c r="FZ85" s="45"/>
      <c r="GA85" s="45"/>
      <c r="GB85" s="45"/>
      <c r="GC85" s="45"/>
    </row>
    <row r="86" spans="1:185" ht="30" x14ac:dyDescent="0.25">
      <c r="A86" s="673" t="s">
        <v>124</v>
      </c>
      <c r="B86" s="558">
        <f>'2 уровень'!C180</f>
        <v>700</v>
      </c>
      <c r="C86" s="558">
        <f>'2 уровень'!D180</f>
        <v>467</v>
      </c>
      <c r="D86" s="544">
        <f>'2 уровень'!E180</f>
        <v>448</v>
      </c>
      <c r="E86" s="559">
        <f>'2 уровень'!F180</f>
        <v>95.931477516059957</v>
      </c>
      <c r="F86" s="547">
        <f>'2 уровень'!G180</f>
        <v>681.25400000000002</v>
      </c>
      <c r="G86" s="547">
        <f>'2 уровень'!H180</f>
        <v>454.17</v>
      </c>
      <c r="H86" s="546">
        <f>'2 уровень'!I180</f>
        <v>433.71629000000001</v>
      </c>
      <c r="I86" s="547">
        <f>'2 уровень'!J180</f>
        <v>0</v>
      </c>
      <c r="J86" s="103"/>
      <c r="K86" s="103"/>
      <c r="L86" s="103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/>
      <c r="BF86" s="45"/>
      <c r="BG86" s="45"/>
      <c r="BH86" s="45"/>
      <c r="BI86" s="45"/>
      <c r="BJ86" s="45"/>
      <c r="BK86" s="45"/>
      <c r="BL86" s="45"/>
      <c r="BM86" s="45"/>
      <c r="BN86" s="45"/>
      <c r="BO86" s="45"/>
      <c r="BP86" s="45"/>
      <c r="BQ86" s="45"/>
      <c r="BR86" s="45"/>
      <c r="BS86" s="45"/>
      <c r="BT86" s="45"/>
      <c r="BU86" s="45"/>
      <c r="BV86" s="45"/>
      <c r="BW86" s="45"/>
      <c r="BX86" s="45"/>
      <c r="BY86" s="45"/>
      <c r="BZ86" s="45"/>
      <c r="CA86" s="45"/>
      <c r="CB86" s="45"/>
      <c r="CC86" s="45"/>
      <c r="CD86" s="45"/>
      <c r="CE86" s="45"/>
      <c r="CF86" s="45"/>
      <c r="CG86" s="45"/>
      <c r="CH86" s="45"/>
      <c r="CI86" s="45"/>
      <c r="CJ86" s="45"/>
      <c r="CK86" s="45"/>
      <c r="CL86" s="45"/>
      <c r="CM86" s="45"/>
      <c r="CN86" s="45"/>
      <c r="CO86" s="45"/>
      <c r="CP86" s="45"/>
      <c r="CQ86" s="45"/>
      <c r="CR86" s="45"/>
      <c r="CS86" s="45"/>
      <c r="CT86" s="45"/>
      <c r="CU86" s="45"/>
      <c r="CV86" s="45"/>
      <c r="CW86" s="45"/>
      <c r="CX86" s="45"/>
      <c r="CY86" s="45"/>
      <c r="CZ86" s="45"/>
      <c r="DA86" s="45"/>
      <c r="DB86" s="45"/>
      <c r="DC86" s="45"/>
      <c r="DD86" s="45"/>
      <c r="DE86" s="45"/>
      <c r="DF86" s="45"/>
      <c r="DG86" s="45"/>
      <c r="DH86" s="45"/>
      <c r="DI86" s="45"/>
      <c r="DJ86" s="45"/>
      <c r="DK86" s="45"/>
      <c r="DL86" s="45"/>
      <c r="DM86" s="45"/>
      <c r="DN86" s="45"/>
      <c r="DO86" s="45"/>
      <c r="DP86" s="45"/>
      <c r="DQ86" s="45"/>
      <c r="DR86" s="45"/>
      <c r="DS86" s="45"/>
      <c r="DT86" s="45"/>
      <c r="DU86" s="45"/>
      <c r="DV86" s="45"/>
      <c r="DW86" s="45"/>
      <c r="DX86" s="45"/>
      <c r="DY86" s="45"/>
      <c r="DZ86" s="45"/>
      <c r="EA86" s="45"/>
      <c r="EB86" s="45"/>
      <c r="EC86" s="45"/>
      <c r="ED86" s="45"/>
      <c r="EE86" s="45"/>
      <c r="EF86" s="45"/>
      <c r="EG86" s="45"/>
      <c r="EH86" s="45"/>
      <c r="EI86" s="45"/>
      <c r="EJ86" s="45"/>
      <c r="EK86" s="45"/>
      <c r="EL86" s="45"/>
      <c r="EM86" s="45"/>
      <c r="EN86" s="45"/>
      <c r="EO86" s="45"/>
      <c r="EP86" s="45"/>
      <c r="EQ86" s="45"/>
      <c r="ER86" s="45"/>
      <c r="ES86" s="45"/>
      <c r="ET86" s="45"/>
      <c r="EU86" s="45"/>
      <c r="EV86" s="45"/>
      <c r="EW86" s="45"/>
      <c r="EX86" s="45"/>
      <c r="EY86" s="45"/>
      <c r="EZ86" s="45"/>
      <c r="FA86" s="45"/>
      <c r="FB86" s="45"/>
      <c r="FC86" s="45"/>
      <c r="FD86" s="45"/>
      <c r="FE86" s="45"/>
      <c r="FF86" s="45"/>
      <c r="FG86" s="45"/>
      <c r="FH86" s="45"/>
      <c r="FI86" s="45"/>
      <c r="FJ86" s="45"/>
      <c r="FK86" s="45"/>
      <c r="FL86" s="45"/>
      <c r="FM86" s="45"/>
      <c r="FN86" s="45"/>
      <c r="FO86" s="45"/>
      <c r="FP86" s="45"/>
      <c r="FQ86" s="45"/>
      <c r="FR86" s="45"/>
      <c r="FS86" s="45"/>
      <c r="FT86" s="45"/>
      <c r="FU86" s="45"/>
      <c r="FV86" s="45"/>
      <c r="FW86" s="45"/>
      <c r="FX86" s="45"/>
      <c r="FY86" s="45"/>
      <c r="FZ86" s="45"/>
      <c r="GA86" s="45"/>
      <c r="GB86" s="45"/>
      <c r="GC86" s="45"/>
    </row>
    <row r="87" spans="1:185" ht="30.75" thickBot="1" x14ac:dyDescent="0.3">
      <c r="A87" s="658" t="s">
        <v>125</v>
      </c>
      <c r="B87" s="558">
        <f>'2 уровень'!C181</f>
        <v>600</v>
      </c>
      <c r="C87" s="558">
        <f>'2 уровень'!D181</f>
        <v>400</v>
      </c>
      <c r="D87" s="544">
        <f>'2 уровень'!E181</f>
        <v>344</v>
      </c>
      <c r="E87" s="559">
        <f>'2 уровень'!F181</f>
        <v>81</v>
      </c>
      <c r="F87" s="547">
        <f>'2 уровень'!G181</f>
        <v>583.93200000000002</v>
      </c>
      <c r="G87" s="547">
        <f>'2 уровень'!H181</f>
        <v>389.28</v>
      </c>
      <c r="H87" s="546">
        <f>'2 уровень'!I181</f>
        <v>328.86745000000002</v>
      </c>
      <c r="I87" s="547">
        <f>'2 уровень'!J181</f>
        <v>0</v>
      </c>
      <c r="J87" s="103"/>
      <c r="K87" s="103"/>
      <c r="L87" s="103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  <c r="AZ87" s="45"/>
      <c r="BA87" s="45"/>
      <c r="BB87" s="45"/>
      <c r="BC87" s="45"/>
      <c r="BD87" s="45"/>
      <c r="BE87" s="45"/>
      <c r="BF87" s="45"/>
      <c r="BG87" s="45"/>
      <c r="BH87" s="45"/>
      <c r="BI87" s="45"/>
      <c r="BJ87" s="45"/>
      <c r="BK87" s="45"/>
      <c r="BL87" s="45"/>
      <c r="BM87" s="45"/>
      <c r="BN87" s="45"/>
      <c r="BO87" s="45"/>
      <c r="BP87" s="45"/>
      <c r="BQ87" s="45"/>
      <c r="BR87" s="45"/>
      <c r="BS87" s="45"/>
      <c r="BT87" s="45"/>
      <c r="BU87" s="45"/>
      <c r="BV87" s="45"/>
      <c r="BW87" s="45"/>
      <c r="BX87" s="45"/>
      <c r="BY87" s="45"/>
      <c r="BZ87" s="45"/>
      <c r="CA87" s="45"/>
      <c r="CB87" s="45"/>
      <c r="CC87" s="45"/>
      <c r="CD87" s="45"/>
      <c r="CE87" s="45"/>
      <c r="CF87" s="45"/>
      <c r="CG87" s="45"/>
      <c r="CH87" s="45"/>
      <c r="CI87" s="45"/>
      <c r="CJ87" s="45"/>
      <c r="CK87" s="45"/>
      <c r="CL87" s="45"/>
      <c r="CM87" s="45"/>
      <c r="CN87" s="45"/>
      <c r="CO87" s="45"/>
      <c r="CP87" s="45"/>
      <c r="CQ87" s="45"/>
      <c r="CR87" s="45"/>
      <c r="CS87" s="45"/>
      <c r="CT87" s="45"/>
      <c r="CU87" s="45"/>
      <c r="CV87" s="45"/>
      <c r="CW87" s="45"/>
      <c r="CX87" s="45"/>
      <c r="CY87" s="45"/>
      <c r="CZ87" s="45"/>
      <c r="DA87" s="45"/>
      <c r="DB87" s="45"/>
      <c r="DC87" s="45"/>
      <c r="DD87" s="45"/>
      <c r="DE87" s="45"/>
      <c r="DF87" s="45"/>
      <c r="DG87" s="45"/>
      <c r="DH87" s="45"/>
      <c r="DI87" s="45"/>
      <c r="DJ87" s="45"/>
      <c r="DK87" s="45"/>
      <c r="DL87" s="45"/>
      <c r="DM87" s="45"/>
      <c r="DN87" s="45"/>
      <c r="DO87" s="45"/>
      <c r="DP87" s="45"/>
      <c r="DQ87" s="45"/>
      <c r="DR87" s="45"/>
      <c r="DS87" s="45"/>
      <c r="DT87" s="45"/>
      <c r="DU87" s="45"/>
      <c r="DV87" s="45"/>
      <c r="DW87" s="45"/>
      <c r="DX87" s="45"/>
      <c r="DY87" s="45"/>
      <c r="DZ87" s="45"/>
      <c r="EA87" s="45"/>
      <c r="EB87" s="45"/>
      <c r="EC87" s="45"/>
      <c r="ED87" s="45"/>
      <c r="EE87" s="45"/>
      <c r="EF87" s="45"/>
      <c r="EG87" s="45"/>
      <c r="EH87" s="45"/>
      <c r="EI87" s="45"/>
      <c r="EJ87" s="45"/>
      <c r="EK87" s="45"/>
      <c r="EL87" s="45"/>
      <c r="EM87" s="45"/>
      <c r="EN87" s="45"/>
      <c r="EO87" s="45"/>
      <c r="EP87" s="45"/>
      <c r="EQ87" s="45"/>
      <c r="ER87" s="45"/>
      <c r="ES87" s="45"/>
      <c r="ET87" s="45"/>
      <c r="EU87" s="45"/>
      <c r="EV87" s="45"/>
      <c r="EW87" s="45"/>
      <c r="EX87" s="45"/>
      <c r="EY87" s="45"/>
      <c r="EZ87" s="45"/>
      <c r="FA87" s="45"/>
      <c r="FB87" s="45"/>
      <c r="FC87" s="45"/>
      <c r="FD87" s="45"/>
      <c r="FE87" s="45"/>
      <c r="FF87" s="45"/>
      <c r="FG87" s="45"/>
      <c r="FH87" s="45"/>
      <c r="FI87" s="45"/>
      <c r="FJ87" s="45"/>
      <c r="FK87" s="45"/>
      <c r="FL87" s="45"/>
      <c r="FM87" s="45"/>
      <c r="FN87" s="45"/>
      <c r="FO87" s="45"/>
      <c r="FP87" s="45"/>
      <c r="FQ87" s="45"/>
      <c r="FR87" s="45"/>
      <c r="FS87" s="45"/>
      <c r="FT87" s="45"/>
      <c r="FU87" s="45"/>
      <c r="FV87" s="45"/>
      <c r="FW87" s="45"/>
      <c r="FX87" s="45"/>
      <c r="FY87" s="45"/>
      <c r="FZ87" s="45"/>
      <c r="GA87" s="45"/>
      <c r="GB87" s="45"/>
      <c r="GC87" s="45"/>
    </row>
    <row r="88" spans="1:185" ht="15.75" thickBot="1" x14ac:dyDescent="0.3">
      <c r="A88" s="548" t="s">
        <v>4</v>
      </c>
      <c r="B88" s="560">
        <f>'2 уровень'!C182</f>
        <v>0</v>
      </c>
      <c r="C88" s="560">
        <f>'2 уровень'!D182</f>
        <v>0</v>
      </c>
      <c r="D88" s="549">
        <f>'2 уровень'!E182</f>
        <v>0</v>
      </c>
      <c r="E88" s="561">
        <f>'2 уровень'!F182</f>
        <v>0</v>
      </c>
      <c r="F88" s="552">
        <f>'2 уровень'!G182</f>
        <v>38023.384730000005</v>
      </c>
      <c r="G88" s="552">
        <f>'2 уровень'!H182</f>
        <v>25348.92</v>
      </c>
      <c r="H88" s="551">
        <f>'2 уровень'!I182</f>
        <v>15099.963090000007</v>
      </c>
      <c r="I88" s="552">
        <f>'2 уровень'!J182</f>
        <v>59.568467177299887</v>
      </c>
      <c r="J88" s="103"/>
      <c r="L88" s="727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  <c r="BM88" s="45"/>
      <c r="BN88" s="45"/>
      <c r="BO88" s="45"/>
      <c r="BP88" s="45"/>
      <c r="BQ88" s="45"/>
      <c r="BR88" s="45"/>
      <c r="BS88" s="45"/>
      <c r="BT88" s="45"/>
      <c r="BU88" s="45"/>
      <c r="BV88" s="45"/>
      <c r="BW88" s="45"/>
      <c r="BX88" s="45"/>
      <c r="BY88" s="45"/>
      <c r="BZ88" s="45"/>
      <c r="CA88" s="45"/>
      <c r="CB88" s="45"/>
      <c r="CC88" s="45"/>
      <c r="CD88" s="45"/>
      <c r="CE88" s="45"/>
      <c r="CF88" s="45"/>
      <c r="CG88" s="45"/>
      <c r="CH88" s="45"/>
      <c r="CI88" s="45"/>
      <c r="CJ88" s="45"/>
      <c r="CK88" s="45"/>
      <c r="CL88" s="45"/>
      <c r="CM88" s="45"/>
      <c r="CN88" s="45"/>
      <c r="CO88" s="45"/>
      <c r="CP88" s="45"/>
      <c r="CQ88" s="45"/>
      <c r="CR88" s="45"/>
      <c r="CS88" s="45"/>
      <c r="CT88" s="45"/>
      <c r="CU88" s="45"/>
      <c r="CV88" s="45"/>
      <c r="CW88" s="45"/>
      <c r="CX88" s="45"/>
      <c r="CY88" s="45"/>
      <c r="CZ88" s="45"/>
      <c r="DA88" s="45"/>
      <c r="DB88" s="45"/>
      <c r="DC88" s="45"/>
      <c r="DD88" s="45"/>
      <c r="DE88" s="45"/>
      <c r="DF88" s="45"/>
      <c r="DG88" s="45"/>
      <c r="DH88" s="45"/>
      <c r="DI88" s="45"/>
      <c r="DJ88" s="45"/>
      <c r="DK88" s="45"/>
      <c r="DL88" s="45"/>
      <c r="DM88" s="45"/>
      <c r="DN88" s="45"/>
      <c r="DO88" s="45"/>
      <c r="DP88" s="45"/>
      <c r="DQ88" s="45"/>
      <c r="DR88" s="45"/>
      <c r="DS88" s="45"/>
      <c r="DT88" s="45"/>
      <c r="DU88" s="45"/>
      <c r="DV88" s="45"/>
      <c r="DW88" s="45"/>
      <c r="DX88" s="45"/>
      <c r="DY88" s="45"/>
      <c r="DZ88" s="45"/>
      <c r="EA88" s="45"/>
      <c r="EB88" s="45"/>
      <c r="EC88" s="45"/>
      <c r="ED88" s="45"/>
      <c r="EE88" s="45"/>
      <c r="EF88" s="45"/>
      <c r="EG88" s="45"/>
      <c r="EH88" s="45"/>
      <c r="EI88" s="45"/>
      <c r="EJ88" s="45"/>
      <c r="EK88" s="45"/>
      <c r="EL88" s="45"/>
      <c r="EM88" s="45"/>
      <c r="EN88" s="45"/>
      <c r="EO88" s="45"/>
      <c r="EP88" s="45"/>
      <c r="EQ88" s="45"/>
      <c r="ER88" s="45"/>
      <c r="ES88" s="45"/>
      <c r="ET88" s="45"/>
      <c r="EU88" s="45"/>
      <c r="EV88" s="45"/>
      <c r="EW88" s="45"/>
      <c r="EX88" s="45"/>
      <c r="EY88" s="45"/>
      <c r="EZ88" s="45"/>
      <c r="FA88" s="45"/>
      <c r="FB88" s="45"/>
      <c r="FC88" s="45"/>
      <c r="FD88" s="45"/>
      <c r="FE88" s="45"/>
      <c r="FF88" s="45"/>
      <c r="FG88" s="45"/>
      <c r="FH88" s="45"/>
      <c r="FI88" s="45"/>
      <c r="FJ88" s="45"/>
      <c r="FK88" s="45"/>
      <c r="FL88" s="45"/>
      <c r="FM88" s="45"/>
      <c r="FN88" s="45"/>
      <c r="FO88" s="45"/>
      <c r="FP88" s="45"/>
      <c r="FQ88" s="45"/>
      <c r="FR88" s="45"/>
      <c r="FS88" s="45"/>
      <c r="FT88" s="45"/>
      <c r="FU88" s="45"/>
      <c r="FV88" s="45"/>
      <c r="FW88" s="45"/>
      <c r="FX88" s="45"/>
      <c r="FY88" s="45"/>
      <c r="FZ88" s="45"/>
      <c r="GA88" s="45"/>
      <c r="GB88" s="45"/>
      <c r="GC88" s="45"/>
    </row>
    <row r="89" spans="1:185" s="45" customFormat="1" ht="15" customHeight="1" x14ac:dyDescent="0.25">
      <c r="A89" s="221" t="s">
        <v>21</v>
      </c>
      <c r="B89" s="248"/>
      <c r="C89" s="248"/>
      <c r="D89" s="686"/>
      <c r="E89" s="249"/>
      <c r="F89" s="194"/>
      <c r="G89" s="194"/>
      <c r="H89" s="690"/>
      <c r="I89" s="194"/>
      <c r="J89" s="103"/>
      <c r="K89" s="726"/>
      <c r="L89" s="727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44"/>
      <c r="BK89" s="44"/>
      <c r="BL89" s="44"/>
      <c r="BM89" s="44"/>
      <c r="BN89" s="44"/>
      <c r="BO89" s="44"/>
      <c r="BP89" s="44"/>
      <c r="BQ89" s="44"/>
      <c r="BR89" s="44"/>
      <c r="BS89" s="44"/>
      <c r="BT89" s="44"/>
      <c r="BU89" s="44"/>
      <c r="BV89" s="44"/>
      <c r="BW89" s="44"/>
      <c r="BX89" s="44"/>
      <c r="BY89" s="44"/>
      <c r="BZ89" s="44"/>
      <c r="CA89" s="44"/>
      <c r="CB89" s="44"/>
      <c r="CC89" s="44"/>
      <c r="CD89" s="44"/>
      <c r="CE89" s="44"/>
      <c r="CF89" s="44"/>
      <c r="CG89" s="44"/>
      <c r="CH89" s="44"/>
      <c r="CI89" s="44"/>
      <c r="CJ89" s="44"/>
      <c r="CK89" s="44"/>
      <c r="CL89" s="44"/>
      <c r="CM89" s="44"/>
      <c r="CN89" s="44"/>
      <c r="CO89" s="44"/>
      <c r="CP89" s="44"/>
      <c r="CQ89" s="44"/>
      <c r="CR89" s="44"/>
      <c r="CS89" s="44"/>
      <c r="CT89" s="44"/>
      <c r="CU89" s="44"/>
      <c r="CV89" s="44"/>
      <c r="CW89" s="44"/>
      <c r="CX89" s="44"/>
      <c r="CY89" s="44"/>
      <c r="CZ89" s="44"/>
      <c r="DA89" s="44"/>
      <c r="DB89" s="44"/>
      <c r="DC89" s="44"/>
      <c r="DD89" s="44"/>
      <c r="DE89" s="44"/>
      <c r="DF89" s="44"/>
      <c r="DG89" s="44"/>
      <c r="DH89" s="44"/>
      <c r="DI89" s="44"/>
      <c r="DJ89" s="44"/>
      <c r="DK89" s="44"/>
      <c r="DL89" s="44"/>
      <c r="DM89" s="44"/>
      <c r="DN89" s="44"/>
      <c r="DO89" s="44"/>
      <c r="DP89" s="44"/>
      <c r="DQ89" s="44"/>
      <c r="DR89" s="44"/>
      <c r="DS89" s="44"/>
      <c r="DT89" s="44"/>
      <c r="DU89" s="44"/>
      <c r="DV89" s="44"/>
      <c r="DW89" s="44"/>
      <c r="DX89" s="44"/>
      <c r="DY89" s="44"/>
      <c r="DZ89" s="44"/>
      <c r="EA89" s="44"/>
      <c r="EB89" s="44"/>
      <c r="EC89" s="44"/>
      <c r="ED89" s="44"/>
      <c r="EE89" s="44"/>
      <c r="EF89" s="44"/>
      <c r="EG89" s="44"/>
      <c r="EH89" s="44"/>
      <c r="EI89" s="44"/>
      <c r="EJ89" s="44"/>
      <c r="EK89" s="44"/>
      <c r="EL89" s="44"/>
      <c r="EM89" s="44"/>
      <c r="EN89" s="44"/>
      <c r="EO89" s="44"/>
      <c r="EP89" s="44"/>
      <c r="EQ89" s="44"/>
      <c r="ER89" s="44"/>
      <c r="ES89" s="44"/>
      <c r="ET89" s="44"/>
      <c r="EU89" s="44"/>
      <c r="EV89" s="44"/>
      <c r="EW89" s="44"/>
      <c r="EX89" s="44"/>
      <c r="EY89" s="44"/>
      <c r="EZ89" s="44"/>
      <c r="FA89" s="44"/>
      <c r="FB89" s="44"/>
      <c r="FC89" s="44"/>
      <c r="FD89" s="44"/>
      <c r="FE89" s="44"/>
      <c r="FF89" s="44"/>
      <c r="FG89" s="44"/>
      <c r="FH89" s="44"/>
      <c r="FI89" s="44"/>
      <c r="FJ89" s="44"/>
      <c r="FK89" s="44"/>
      <c r="FL89" s="44"/>
      <c r="FM89" s="44"/>
      <c r="FN89" s="44"/>
      <c r="FO89" s="44"/>
      <c r="FP89" s="44"/>
      <c r="FQ89" s="44"/>
      <c r="FR89" s="44"/>
      <c r="FS89" s="44"/>
      <c r="FT89" s="44"/>
      <c r="FU89" s="44"/>
      <c r="FV89" s="44"/>
      <c r="FW89" s="44"/>
      <c r="FX89" s="44"/>
      <c r="FY89" s="44"/>
      <c r="FZ89" s="44"/>
      <c r="GA89" s="44"/>
      <c r="GB89" s="44"/>
      <c r="GC89" s="44"/>
    </row>
    <row r="90" spans="1:185" s="45" customFormat="1" ht="53.25" customHeight="1" x14ac:dyDescent="0.25">
      <c r="A90" s="542" t="s">
        <v>120</v>
      </c>
      <c r="B90" s="577">
        <f>'2 уровень'!C198</f>
        <v>4185</v>
      </c>
      <c r="C90" s="577">
        <f>'2 уровень'!D198</f>
        <v>2789</v>
      </c>
      <c r="D90" s="577">
        <f>'2 уровень'!E198</f>
        <v>2259</v>
      </c>
      <c r="E90" s="578">
        <f>'2 уровень'!F198</f>
        <v>80.996773036930804</v>
      </c>
      <c r="F90" s="579">
        <f>'2 уровень'!G198</f>
        <v>7005.2602500000003</v>
      </c>
      <c r="G90" s="579">
        <f>'2 уровень'!H198</f>
        <v>4670.1799999999994</v>
      </c>
      <c r="H90" s="579">
        <f>'2 уровень'!I198</f>
        <v>4292.4242899999999</v>
      </c>
      <c r="I90" s="579">
        <f>'2 уровень'!J198</f>
        <v>91.91132440291382</v>
      </c>
      <c r="J90" s="103"/>
      <c r="K90" s="726"/>
      <c r="L90" s="727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4"/>
      <c r="BD90" s="44"/>
      <c r="BE90" s="44"/>
      <c r="BF90" s="44"/>
      <c r="BG90" s="44"/>
      <c r="BH90" s="44"/>
      <c r="BI90" s="44"/>
      <c r="BJ90" s="44"/>
      <c r="BK90" s="44"/>
      <c r="BL90" s="44"/>
      <c r="BM90" s="44"/>
      <c r="BN90" s="44"/>
      <c r="BO90" s="44"/>
      <c r="BP90" s="44"/>
      <c r="BQ90" s="44"/>
      <c r="BR90" s="44"/>
      <c r="BS90" s="44"/>
      <c r="BT90" s="44"/>
      <c r="BU90" s="44"/>
      <c r="BV90" s="44"/>
      <c r="BW90" s="44"/>
      <c r="BX90" s="44"/>
      <c r="BY90" s="44"/>
      <c r="BZ90" s="44"/>
      <c r="CA90" s="44"/>
      <c r="CB90" s="44"/>
      <c r="CC90" s="44"/>
      <c r="CD90" s="44"/>
      <c r="CE90" s="44"/>
      <c r="CF90" s="44"/>
      <c r="CG90" s="44"/>
      <c r="CH90" s="44"/>
      <c r="CI90" s="44"/>
      <c r="CJ90" s="44"/>
      <c r="CK90" s="44"/>
      <c r="CL90" s="44"/>
      <c r="CM90" s="44"/>
      <c r="CN90" s="44"/>
      <c r="CO90" s="44"/>
      <c r="CP90" s="44"/>
      <c r="CQ90" s="44"/>
      <c r="CR90" s="44"/>
      <c r="CS90" s="44"/>
      <c r="CT90" s="44"/>
      <c r="CU90" s="44"/>
      <c r="CV90" s="44"/>
      <c r="CW90" s="44"/>
      <c r="CX90" s="44"/>
      <c r="CY90" s="44"/>
      <c r="CZ90" s="44"/>
      <c r="DA90" s="44"/>
      <c r="DB90" s="44"/>
      <c r="DC90" s="44"/>
      <c r="DD90" s="44"/>
      <c r="DE90" s="44"/>
      <c r="DF90" s="44"/>
      <c r="DG90" s="44"/>
      <c r="DH90" s="44"/>
      <c r="DI90" s="44"/>
      <c r="DJ90" s="44"/>
      <c r="DK90" s="44"/>
      <c r="DL90" s="44"/>
      <c r="DM90" s="44"/>
      <c r="DN90" s="44"/>
      <c r="DO90" s="44"/>
      <c r="DP90" s="44"/>
      <c r="DQ90" s="44"/>
      <c r="DR90" s="44"/>
      <c r="DS90" s="44"/>
      <c r="DT90" s="44"/>
      <c r="DU90" s="44"/>
      <c r="DV90" s="44"/>
      <c r="DW90" s="44"/>
      <c r="DX90" s="44"/>
      <c r="DY90" s="44"/>
      <c r="DZ90" s="44"/>
      <c r="EA90" s="44"/>
      <c r="EB90" s="44"/>
      <c r="EC90" s="44"/>
      <c r="ED90" s="44"/>
      <c r="EE90" s="44"/>
      <c r="EF90" s="44"/>
      <c r="EG90" s="44"/>
      <c r="EH90" s="44"/>
      <c r="EI90" s="44"/>
      <c r="EJ90" s="44"/>
      <c r="EK90" s="44"/>
      <c r="EL90" s="44"/>
      <c r="EM90" s="44"/>
      <c r="EN90" s="44"/>
      <c r="EO90" s="44"/>
      <c r="EP90" s="44"/>
      <c r="EQ90" s="44"/>
      <c r="ER90" s="44"/>
      <c r="ES90" s="44"/>
      <c r="ET90" s="44"/>
      <c r="EU90" s="44"/>
      <c r="EV90" s="44"/>
      <c r="EW90" s="44"/>
      <c r="EX90" s="44"/>
      <c r="EY90" s="44"/>
      <c r="EZ90" s="44"/>
      <c r="FA90" s="44"/>
      <c r="FB90" s="44"/>
      <c r="FC90" s="44"/>
      <c r="FD90" s="44"/>
      <c r="FE90" s="44"/>
      <c r="FF90" s="44"/>
      <c r="FG90" s="44"/>
      <c r="FH90" s="44"/>
      <c r="FI90" s="44"/>
      <c r="FJ90" s="44"/>
      <c r="FK90" s="44"/>
      <c r="FL90" s="44"/>
      <c r="FM90" s="44"/>
      <c r="FN90" s="44"/>
      <c r="FO90" s="44"/>
      <c r="FP90" s="44"/>
      <c r="FQ90" s="44"/>
      <c r="FR90" s="44"/>
      <c r="FS90" s="44"/>
      <c r="FT90" s="44"/>
      <c r="FU90" s="44"/>
      <c r="FV90" s="44"/>
      <c r="FW90" s="44"/>
      <c r="FX90" s="44"/>
      <c r="FY90" s="44"/>
      <c r="FZ90" s="44"/>
      <c r="GA90" s="44"/>
      <c r="GB90" s="44"/>
      <c r="GC90" s="44"/>
    </row>
    <row r="91" spans="1:185" s="45" customFormat="1" ht="38.1" customHeight="1" x14ac:dyDescent="0.25">
      <c r="A91" s="116" t="s">
        <v>79</v>
      </c>
      <c r="B91" s="276">
        <f>'2 уровень'!C199</f>
        <v>3071</v>
      </c>
      <c r="C91" s="276">
        <f>'2 уровень'!D199</f>
        <v>2047</v>
      </c>
      <c r="D91" s="69">
        <f>'2 уровень'!E199</f>
        <v>2093</v>
      </c>
      <c r="E91" s="277">
        <f>'2 уровень'!F199</f>
        <v>102.24719101123596</v>
      </c>
      <c r="F91" s="278">
        <f>'2 уровень'!G199</f>
        <v>4181.0510000000004</v>
      </c>
      <c r="G91" s="278">
        <f>'2 уровень'!H199</f>
        <v>2787.37</v>
      </c>
      <c r="H91" s="691">
        <f>'2 уровень'!I199</f>
        <v>3273.26316</v>
      </c>
      <c r="I91" s="278">
        <f>'2 уровень'!J199</f>
        <v>117.43195772358889</v>
      </c>
      <c r="J91" s="103"/>
      <c r="K91" s="726"/>
      <c r="L91" s="727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  <c r="BI91" s="44"/>
      <c r="BJ91" s="44"/>
      <c r="BK91" s="44"/>
      <c r="BL91" s="44"/>
      <c r="BM91" s="44"/>
      <c r="BN91" s="44"/>
      <c r="BO91" s="44"/>
      <c r="BP91" s="44"/>
      <c r="BQ91" s="44"/>
      <c r="BR91" s="44"/>
      <c r="BS91" s="44"/>
      <c r="BT91" s="44"/>
      <c r="BU91" s="44"/>
      <c r="BV91" s="44"/>
      <c r="BW91" s="44"/>
      <c r="BX91" s="44"/>
      <c r="BY91" s="44"/>
      <c r="BZ91" s="44"/>
      <c r="CA91" s="44"/>
      <c r="CB91" s="44"/>
      <c r="CC91" s="44"/>
      <c r="CD91" s="44"/>
      <c r="CE91" s="44"/>
      <c r="CF91" s="44"/>
      <c r="CG91" s="44"/>
      <c r="CH91" s="44"/>
      <c r="CI91" s="44"/>
      <c r="CJ91" s="44"/>
      <c r="CK91" s="44"/>
      <c r="CL91" s="44"/>
      <c r="CM91" s="44"/>
      <c r="CN91" s="44"/>
      <c r="CO91" s="44"/>
      <c r="CP91" s="44"/>
      <c r="CQ91" s="44"/>
      <c r="CR91" s="44"/>
      <c r="CS91" s="44"/>
      <c r="CT91" s="44"/>
      <c r="CU91" s="44"/>
      <c r="CV91" s="44"/>
      <c r="CW91" s="44"/>
      <c r="CX91" s="44"/>
      <c r="CY91" s="44"/>
      <c r="CZ91" s="44"/>
      <c r="DA91" s="44"/>
      <c r="DB91" s="44"/>
      <c r="DC91" s="44"/>
      <c r="DD91" s="44"/>
      <c r="DE91" s="44"/>
      <c r="DF91" s="44"/>
      <c r="DG91" s="44"/>
      <c r="DH91" s="44"/>
      <c r="DI91" s="44"/>
      <c r="DJ91" s="44"/>
      <c r="DK91" s="44"/>
      <c r="DL91" s="44"/>
      <c r="DM91" s="44"/>
      <c r="DN91" s="44"/>
      <c r="DO91" s="44"/>
      <c r="DP91" s="44"/>
      <c r="DQ91" s="44"/>
      <c r="DR91" s="44"/>
      <c r="DS91" s="44"/>
      <c r="DT91" s="44"/>
      <c r="DU91" s="44"/>
      <c r="DV91" s="44"/>
      <c r="DW91" s="44"/>
      <c r="DX91" s="44"/>
      <c r="DY91" s="44"/>
      <c r="DZ91" s="44"/>
      <c r="EA91" s="44"/>
      <c r="EB91" s="44"/>
      <c r="EC91" s="44"/>
      <c r="ED91" s="44"/>
      <c r="EE91" s="44"/>
      <c r="EF91" s="44"/>
      <c r="EG91" s="44"/>
      <c r="EH91" s="44"/>
      <c r="EI91" s="44"/>
      <c r="EJ91" s="44"/>
      <c r="EK91" s="44"/>
      <c r="EL91" s="44"/>
      <c r="EM91" s="44"/>
      <c r="EN91" s="44"/>
      <c r="EO91" s="44"/>
      <c r="EP91" s="44"/>
      <c r="EQ91" s="44"/>
      <c r="ER91" s="44"/>
      <c r="ES91" s="44"/>
      <c r="ET91" s="44"/>
      <c r="EU91" s="44"/>
      <c r="EV91" s="44"/>
      <c r="EW91" s="44"/>
      <c r="EX91" s="44"/>
      <c r="EY91" s="44"/>
      <c r="EZ91" s="44"/>
      <c r="FA91" s="44"/>
      <c r="FB91" s="44"/>
      <c r="FC91" s="44"/>
      <c r="FD91" s="44"/>
      <c r="FE91" s="44"/>
      <c r="FF91" s="44"/>
      <c r="FG91" s="44"/>
      <c r="FH91" s="44"/>
      <c r="FI91" s="44"/>
      <c r="FJ91" s="44"/>
      <c r="FK91" s="44"/>
      <c r="FL91" s="44"/>
      <c r="FM91" s="44"/>
      <c r="FN91" s="44"/>
      <c r="FO91" s="44"/>
      <c r="FP91" s="44"/>
      <c r="FQ91" s="44"/>
      <c r="FR91" s="44"/>
      <c r="FS91" s="44"/>
      <c r="FT91" s="44"/>
      <c r="FU91" s="44"/>
      <c r="FV91" s="44"/>
      <c r="FW91" s="44"/>
      <c r="FX91" s="44"/>
      <c r="FY91" s="44"/>
      <c r="FZ91" s="44"/>
      <c r="GA91" s="44"/>
      <c r="GB91" s="44"/>
      <c r="GC91" s="44"/>
    </row>
    <row r="92" spans="1:185" s="45" customFormat="1" ht="38.1" customHeight="1" x14ac:dyDescent="0.25">
      <c r="A92" s="116" t="s">
        <v>80</v>
      </c>
      <c r="B92" s="276">
        <f>'2 уровень'!C200</f>
        <v>921</v>
      </c>
      <c r="C92" s="276">
        <f>'2 уровень'!D200</f>
        <v>614</v>
      </c>
      <c r="D92" s="69">
        <f>'2 уровень'!E200</f>
        <v>0</v>
      </c>
      <c r="E92" s="277">
        <f>'2 уровень'!F200</f>
        <v>0</v>
      </c>
      <c r="F92" s="278">
        <f>'2 уровень'!G200</f>
        <v>1557.7278099999999</v>
      </c>
      <c r="G92" s="278">
        <f>'2 уровень'!H200</f>
        <v>1038.49</v>
      </c>
      <c r="H92" s="691">
        <f>'2 уровень'!I200</f>
        <v>-63.581899999999997</v>
      </c>
      <c r="I92" s="278">
        <f>'2 уровень'!J200</f>
        <v>-6.1225336787065832</v>
      </c>
      <c r="J92" s="103"/>
      <c r="K92" s="726"/>
      <c r="L92" s="727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  <c r="BH92" s="44"/>
      <c r="BI92" s="44"/>
      <c r="BJ92" s="44"/>
      <c r="BK92" s="44"/>
      <c r="BL92" s="44"/>
      <c r="BM92" s="44"/>
      <c r="BN92" s="44"/>
      <c r="BO92" s="44"/>
      <c r="BP92" s="44"/>
      <c r="BQ92" s="44"/>
      <c r="BR92" s="44"/>
      <c r="BS92" s="44"/>
      <c r="BT92" s="44"/>
      <c r="BU92" s="44"/>
      <c r="BV92" s="44"/>
      <c r="BW92" s="44"/>
      <c r="BX92" s="44"/>
      <c r="BY92" s="44"/>
      <c r="BZ92" s="44"/>
      <c r="CA92" s="44"/>
      <c r="CB92" s="44"/>
      <c r="CC92" s="44"/>
      <c r="CD92" s="44"/>
      <c r="CE92" s="44"/>
      <c r="CF92" s="44"/>
      <c r="CG92" s="44"/>
      <c r="CH92" s="44"/>
      <c r="CI92" s="44"/>
      <c r="CJ92" s="44"/>
      <c r="CK92" s="44"/>
      <c r="CL92" s="44"/>
      <c r="CM92" s="44"/>
      <c r="CN92" s="44"/>
      <c r="CO92" s="44"/>
      <c r="CP92" s="44"/>
      <c r="CQ92" s="44"/>
      <c r="CR92" s="44"/>
      <c r="CS92" s="44"/>
      <c r="CT92" s="44"/>
      <c r="CU92" s="44"/>
      <c r="CV92" s="44"/>
      <c r="CW92" s="44"/>
      <c r="CX92" s="44"/>
      <c r="CY92" s="44"/>
      <c r="CZ92" s="44"/>
      <c r="DA92" s="44"/>
      <c r="DB92" s="44"/>
      <c r="DC92" s="44"/>
      <c r="DD92" s="44"/>
      <c r="DE92" s="44"/>
      <c r="DF92" s="44"/>
      <c r="DG92" s="44"/>
      <c r="DH92" s="44"/>
      <c r="DI92" s="44"/>
      <c r="DJ92" s="44"/>
      <c r="DK92" s="44"/>
      <c r="DL92" s="44"/>
      <c r="DM92" s="44"/>
      <c r="DN92" s="44"/>
      <c r="DO92" s="44"/>
      <c r="DP92" s="44"/>
      <c r="DQ92" s="44"/>
      <c r="DR92" s="44"/>
      <c r="DS92" s="44"/>
      <c r="DT92" s="44"/>
      <c r="DU92" s="44"/>
      <c r="DV92" s="44"/>
      <c r="DW92" s="44"/>
      <c r="DX92" s="44"/>
      <c r="DY92" s="44"/>
      <c r="DZ92" s="44"/>
      <c r="EA92" s="44"/>
      <c r="EB92" s="44"/>
      <c r="EC92" s="44"/>
      <c r="ED92" s="44"/>
      <c r="EE92" s="44"/>
      <c r="EF92" s="44"/>
      <c r="EG92" s="44"/>
      <c r="EH92" s="44"/>
      <c r="EI92" s="44"/>
      <c r="EJ92" s="44"/>
      <c r="EK92" s="44"/>
      <c r="EL92" s="44"/>
      <c r="EM92" s="44"/>
      <c r="EN92" s="44"/>
      <c r="EO92" s="44"/>
      <c r="EP92" s="44"/>
      <c r="EQ92" s="44"/>
      <c r="ER92" s="44"/>
      <c r="ES92" s="44"/>
      <c r="ET92" s="44"/>
      <c r="EU92" s="44"/>
      <c r="EV92" s="44"/>
      <c r="EW92" s="44"/>
      <c r="EX92" s="44"/>
      <c r="EY92" s="44"/>
      <c r="EZ92" s="44"/>
      <c r="FA92" s="44"/>
      <c r="FB92" s="44"/>
      <c r="FC92" s="44"/>
      <c r="FD92" s="44"/>
      <c r="FE92" s="44"/>
      <c r="FF92" s="44"/>
      <c r="FG92" s="44"/>
      <c r="FH92" s="44"/>
      <c r="FI92" s="44"/>
      <c r="FJ92" s="44"/>
      <c r="FK92" s="44"/>
      <c r="FL92" s="44"/>
      <c r="FM92" s="44"/>
      <c r="FN92" s="44"/>
      <c r="FO92" s="44"/>
      <c r="FP92" s="44"/>
      <c r="FQ92" s="44"/>
      <c r="FR92" s="44"/>
      <c r="FS92" s="44"/>
      <c r="FT92" s="44"/>
      <c r="FU92" s="44"/>
      <c r="FV92" s="44"/>
      <c r="FW92" s="44"/>
      <c r="FX92" s="44"/>
      <c r="FY92" s="44"/>
      <c r="FZ92" s="44"/>
      <c r="GA92" s="44"/>
      <c r="GB92" s="44"/>
      <c r="GC92" s="44"/>
    </row>
    <row r="93" spans="1:185" s="45" customFormat="1" ht="45" customHeight="1" x14ac:dyDescent="0.25">
      <c r="A93" s="116" t="s">
        <v>110</v>
      </c>
      <c r="B93" s="276">
        <f>'2 уровень'!C201</f>
        <v>20</v>
      </c>
      <c r="C93" s="276">
        <f>'2 уровень'!D201</f>
        <v>13</v>
      </c>
      <c r="D93" s="69">
        <f>'2 уровень'!E201</f>
        <v>21</v>
      </c>
      <c r="E93" s="277">
        <f>'2 уровень'!F201</f>
        <v>161.53846153846155</v>
      </c>
      <c r="F93" s="278">
        <f>'2 уровень'!G201</f>
        <v>131.24160000000001</v>
      </c>
      <c r="G93" s="278">
        <f>'2 уровень'!H201</f>
        <v>87.49</v>
      </c>
      <c r="H93" s="691">
        <f>'2 уровень'!I201</f>
        <v>137.80367999999999</v>
      </c>
      <c r="I93" s="278">
        <f>'2 уровень'!J201</f>
        <v>157.50792090524629</v>
      </c>
      <c r="J93" s="103"/>
      <c r="K93" s="726"/>
      <c r="L93" s="727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4"/>
      <c r="BK93" s="44"/>
      <c r="BL93" s="44"/>
      <c r="BM93" s="44"/>
      <c r="BN93" s="44"/>
      <c r="BO93" s="44"/>
      <c r="BP93" s="44"/>
      <c r="BQ93" s="44"/>
      <c r="BR93" s="44"/>
      <c r="BS93" s="44"/>
      <c r="BT93" s="44"/>
      <c r="BU93" s="44"/>
      <c r="BV93" s="44"/>
      <c r="BW93" s="44"/>
      <c r="BX93" s="44"/>
      <c r="BY93" s="44"/>
      <c r="BZ93" s="44"/>
      <c r="CA93" s="44"/>
      <c r="CB93" s="44"/>
      <c r="CC93" s="44"/>
      <c r="CD93" s="44"/>
      <c r="CE93" s="44"/>
      <c r="CF93" s="44"/>
      <c r="CG93" s="44"/>
      <c r="CH93" s="44"/>
      <c r="CI93" s="44"/>
      <c r="CJ93" s="44"/>
      <c r="CK93" s="44"/>
      <c r="CL93" s="44"/>
      <c r="CM93" s="44"/>
      <c r="CN93" s="44"/>
      <c r="CO93" s="44"/>
      <c r="CP93" s="44"/>
      <c r="CQ93" s="44"/>
      <c r="CR93" s="44"/>
      <c r="CS93" s="44"/>
      <c r="CT93" s="44"/>
      <c r="CU93" s="44"/>
      <c r="CV93" s="44"/>
      <c r="CW93" s="44"/>
      <c r="CX93" s="44"/>
      <c r="CY93" s="44"/>
      <c r="CZ93" s="44"/>
      <c r="DA93" s="44"/>
      <c r="DB93" s="44"/>
      <c r="DC93" s="44"/>
      <c r="DD93" s="44"/>
      <c r="DE93" s="44"/>
      <c r="DF93" s="44"/>
      <c r="DG93" s="44"/>
      <c r="DH93" s="44"/>
      <c r="DI93" s="44"/>
      <c r="DJ93" s="44"/>
      <c r="DK93" s="44"/>
      <c r="DL93" s="44"/>
      <c r="DM93" s="44"/>
      <c r="DN93" s="44"/>
      <c r="DO93" s="44"/>
      <c r="DP93" s="44"/>
      <c r="DQ93" s="44"/>
      <c r="DR93" s="44"/>
      <c r="DS93" s="44"/>
      <c r="DT93" s="44"/>
      <c r="DU93" s="44"/>
      <c r="DV93" s="44"/>
      <c r="DW93" s="44"/>
      <c r="DX93" s="44"/>
      <c r="DY93" s="44"/>
      <c r="DZ93" s="44"/>
      <c r="EA93" s="44"/>
      <c r="EB93" s="44"/>
      <c r="EC93" s="44"/>
      <c r="ED93" s="44"/>
      <c r="EE93" s="44"/>
      <c r="EF93" s="44"/>
      <c r="EG93" s="44"/>
      <c r="EH93" s="44"/>
      <c r="EI93" s="44"/>
      <c r="EJ93" s="44"/>
      <c r="EK93" s="44"/>
      <c r="EL93" s="44"/>
      <c r="EM93" s="44"/>
      <c r="EN93" s="44"/>
      <c r="EO93" s="44"/>
      <c r="EP93" s="44"/>
      <c r="EQ93" s="44"/>
      <c r="ER93" s="44"/>
      <c r="ES93" s="44"/>
      <c r="ET93" s="44"/>
      <c r="EU93" s="44"/>
      <c r="EV93" s="44"/>
      <c r="EW93" s="44"/>
      <c r="EX93" s="44"/>
      <c r="EY93" s="44"/>
      <c r="EZ93" s="44"/>
      <c r="FA93" s="44"/>
      <c r="FB93" s="44"/>
      <c r="FC93" s="44"/>
      <c r="FD93" s="44"/>
      <c r="FE93" s="44"/>
      <c r="FF93" s="44"/>
      <c r="FG93" s="44"/>
      <c r="FH93" s="44"/>
      <c r="FI93" s="44"/>
      <c r="FJ93" s="44"/>
      <c r="FK93" s="44"/>
      <c r="FL93" s="44"/>
      <c r="FM93" s="44"/>
      <c r="FN93" s="44"/>
      <c r="FO93" s="44"/>
      <c r="FP93" s="44"/>
      <c r="FQ93" s="44"/>
      <c r="FR93" s="44"/>
      <c r="FS93" s="44"/>
      <c r="FT93" s="44"/>
      <c r="FU93" s="44"/>
      <c r="FV93" s="44"/>
      <c r="FW93" s="44"/>
      <c r="FX93" s="44"/>
      <c r="FY93" s="44"/>
      <c r="FZ93" s="44"/>
      <c r="GA93" s="44"/>
      <c r="GB93" s="44"/>
      <c r="GC93" s="44"/>
    </row>
    <row r="94" spans="1:185" s="45" customFormat="1" ht="38.1" customHeight="1" x14ac:dyDescent="0.25">
      <c r="A94" s="116" t="s">
        <v>111</v>
      </c>
      <c r="B94" s="192">
        <f>'2 уровень'!C202</f>
        <v>173</v>
      </c>
      <c r="C94" s="192">
        <f>'2 уровень'!D202</f>
        <v>115</v>
      </c>
      <c r="D94" s="48">
        <f>'2 уровень'!E202</f>
        <v>145</v>
      </c>
      <c r="E94" s="250">
        <f>'2 уровень'!F202</f>
        <v>126.08695652173914</v>
      </c>
      <c r="F94" s="191">
        <f>'2 уровень'!G202</f>
        <v>1135.2398400000002</v>
      </c>
      <c r="G94" s="191">
        <f>'2 уровень'!H202</f>
        <v>756.83</v>
      </c>
      <c r="H94" s="692">
        <f>'2 уровень'!I202</f>
        <v>944.93934999999999</v>
      </c>
      <c r="I94" s="191">
        <f>'2 уровень'!J202</f>
        <v>124.8549013649036</v>
      </c>
      <c r="J94" s="103"/>
      <c r="K94" s="726"/>
      <c r="L94" s="727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4"/>
      <c r="AW94" s="44"/>
      <c r="AX94" s="44"/>
      <c r="AY94" s="44"/>
      <c r="AZ94" s="44"/>
      <c r="BA94" s="44"/>
      <c r="BB94" s="44"/>
      <c r="BC94" s="44"/>
      <c r="BD94" s="44"/>
      <c r="BE94" s="44"/>
      <c r="BF94" s="44"/>
      <c r="BG94" s="44"/>
      <c r="BH94" s="44"/>
      <c r="BI94" s="44"/>
      <c r="BJ94" s="44"/>
      <c r="BK94" s="44"/>
      <c r="BL94" s="44"/>
      <c r="BM94" s="44"/>
      <c r="BN94" s="44"/>
      <c r="BO94" s="44"/>
      <c r="BP94" s="44"/>
      <c r="BQ94" s="44"/>
      <c r="BR94" s="44"/>
      <c r="BS94" s="44"/>
      <c r="BT94" s="44"/>
      <c r="BU94" s="44"/>
      <c r="BV94" s="44"/>
      <c r="BW94" s="44"/>
      <c r="BX94" s="44"/>
      <c r="BY94" s="44"/>
      <c r="BZ94" s="44"/>
      <c r="CA94" s="44"/>
      <c r="CB94" s="44"/>
      <c r="CC94" s="44"/>
      <c r="CD94" s="44"/>
      <c r="CE94" s="44"/>
      <c r="CF94" s="44"/>
      <c r="CG94" s="44"/>
      <c r="CH94" s="44"/>
      <c r="CI94" s="44"/>
      <c r="CJ94" s="44"/>
      <c r="CK94" s="44"/>
      <c r="CL94" s="44"/>
      <c r="CM94" s="44"/>
      <c r="CN94" s="44"/>
      <c r="CO94" s="44"/>
      <c r="CP94" s="44"/>
      <c r="CQ94" s="44"/>
      <c r="CR94" s="44"/>
      <c r="CS94" s="44"/>
      <c r="CT94" s="44"/>
      <c r="CU94" s="44"/>
      <c r="CV94" s="44"/>
      <c r="CW94" s="44"/>
      <c r="CX94" s="44"/>
      <c r="CY94" s="44"/>
      <c r="CZ94" s="44"/>
      <c r="DA94" s="44"/>
      <c r="DB94" s="44"/>
      <c r="DC94" s="44"/>
      <c r="DD94" s="44"/>
      <c r="DE94" s="44"/>
      <c r="DF94" s="44"/>
      <c r="DG94" s="44"/>
      <c r="DH94" s="44"/>
      <c r="DI94" s="44"/>
      <c r="DJ94" s="44"/>
      <c r="DK94" s="44"/>
      <c r="DL94" s="44"/>
      <c r="DM94" s="44"/>
      <c r="DN94" s="44"/>
      <c r="DO94" s="44"/>
      <c r="DP94" s="44"/>
      <c r="DQ94" s="44"/>
      <c r="DR94" s="44"/>
      <c r="DS94" s="44"/>
      <c r="DT94" s="44"/>
      <c r="DU94" s="44"/>
      <c r="DV94" s="44"/>
      <c r="DW94" s="44"/>
      <c r="DX94" s="44"/>
      <c r="DY94" s="44"/>
      <c r="DZ94" s="44"/>
      <c r="EA94" s="44"/>
      <c r="EB94" s="44"/>
      <c r="EC94" s="44"/>
      <c r="ED94" s="44"/>
      <c r="EE94" s="44"/>
      <c r="EF94" s="44"/>
      <c r="EG94" s="44"/>
      <c r="EH94" s="44"/>
      <c r="EI94" s="44"/>
      <c r="EJ94" s="44"/>
      <c r="EK94" s="44"/>
      <c r="EL94" s="44"/>
      <c r="EM94" s="44"/>
      <c r="EN94" s="44"/>
      <c r="EO94" s="44"/>
      <c r="EP94" s="44"/>
      <c r="EQ94" s="44"/>
      <c r="ER94" s="44"/>
      <c r="ES94" s="44"/>
      <c r="ET94" s="44"/>
      <c r="EU94" s="44"/>
      <c r="EV94" s="44"/>
      <c r="EW94" s="44"/>
      <c r="EX94" s="44"/>
      <c r="EY94" s="44"/>
      <c r="EZ94" s="44"/>
      <c r="FA94" s="44"/>
      <c r="FB94" s="44"/>
      <c r="FC94" s="44"/>
      <c r="FD94" s="44"/>
      <c r="FE94" s="44"/>
      <c r="FF94" s="44"/>
      <c r="FG94" s="44"/>
      <c r="FH94" s="44"/>
      <c r="FI94" s="44"/>
      <c r="FJ94" s="44"/>
      <c r="FK94" s="44"/>
      <c r="FL94" s="44"/>
      <c r="FM94" s="44"/>
      <c r="FN94" s="44"/>
      <c r="FO94" s="44"/>
      <c r="FP94" s="44"/>
      <c r="FQ94" s="44"/>
      <c r="FR94" s="44"/>
      <c r="FS94" s="44"/>
      <c r="FT94" s="44"/>
      <c r="FU94" s="44"/>
      <c r="FV94" s="44"/>
      <c r="FW94" s="44"/>
      <c r="FX94" s="44"/>
      <c r="FY94" s="44"/>
      <c r="FZ94" s="44"/>
      <c r="GA94" s="44"/>
      <c r="GB94" s="44"/>
      <c r="GC94" s="44"/>
    </row>
    <row r="95" spans="1:185" s="45" customFormat="1" ht="54" customHeight="1" x14ac:dyDescent="0.25">
      <c r="A95" s="542" t="s">
        <v>112</v>
      </c>
      <c r="B95" s="577">
        <f>'2 уровень'!C203</f>
        <v>4350</v>
      </c>
      <c r="C95" s="577">
        <f>'2 уровень'!D203</f>
        <v>2900</v>
      </c>
      <c r="D95" s="577">
        <f>'2 уровень'!E203</f>
        <v>1378</v>
      </c>
      <c r="E95" s="578">
        <f>'2 уровень'!F203</f>
        <v>47.517241379310342</v>
      </c>
      <c r="F95" s="579">
        <f>'2 уровень'!G203</f>
        <v>10640.283499999998</v>
      </c>
      <c r="G95" s="579">
        <f>'2 уровень'!H203</f>
        <v>7093.52</v>
      </c>
      <c r="H95" s="579">
        <f>'2 уровень'!I203</f>
        <v>2705.9679099999998</v>
      </c>
      <c r="I95" s="579">
        <f>'2 уровень'!J203</f>
        <v>38.147039974511941</v>
      </c>
      <c r="J95" s="103"/>
      <c r="K95" s="726"/>
      <c r="L95" s="727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4"/>
      <c r="BK95" s="44"/>
      <c r="BL95" s="44"/>
      <c r="BM95" s="44"/>
      <c r="BN95" s="44"/>
      <c r="BO95" s="44"/>
      <c r="BP95" s="44"/>
      <c r="BQ95" s="44"/>
      <c r="BR95" s="44"/>
      <c r="BS95" s="44"/>
      <c r="BT95" s="44"/>
      <c r="BU95" s="44"/>
      <c r="BV95" s="44"/>
      <c r="BW95" s="44"/>
      <c r="BX95" s="44"/>
      <c r="BY95" s="44"/>
      <c r="BZ95" s="44"/>
      <c r="CA95" s="44"/>
      <c r="CB95" s="44"/>
      <c r="CC95" s="44"/>
      <c r="CD95" s="44"/>
      <c r="CE95" s="44"/>
      <c r="CF95" s="44"/>
      <c r="CG95" s="44"/>
      <c r="CH95" s="44"/>
      <c r="CI95" s="44"/>
      <c r="CJ95" s="44"/>
      <c r="CK95" s="44"/>
      <c r="CL95" s="44"/>
      <c r="CM95" s="44"/>
      <c r="CN95" s="44"/>
      <c r="CO95" s="44"/>
      <c r="CP95" s="44"/>
      <c r="CQ95" s="44"/>
      <c r="CR95" s="44"/>
      <c r="CS95" s="44"/>
      <c r="CT95" s="44"/>
      <c r="CU95" s="44"/>
      <c r="CV95" s="44"/>
      <c r="CW95" s="44"/>
      <c r="CX95" s="44"/>
      <c r="CY95" s="44"/>
      <c r="CZ95" s="44"/>
      <c r="DA95" s="44"/>
      <c r="DB95" s="44"/>
      <c r="DC95" s="44"/>
      <c r="DD95" s="44"/>
      <c r="DE95" s="44"/>
      <c r="DF95" s="44"/>
      <c r="DG95" s="44"/>
      <c r="DH95" s="44"/>
      <c r="DI95" s="44"/>
      <c r="DJ95" s="44"/>
      <c r="DK95" s="44"/>
      <c r="DL95" s="44"/>
      <c r="DM95" s="44"/>
      <c r="DN95" s="44"/>
      <c r="DO95" s="44"/>
      <c r="DP95" s="44"/>
      <c r="DQ95" s="44"/>
      <c r="DR95" s="44"/>
      <c r="DS95" s="44"/>
      <c r="DT95" s="44"/>
      <c r="DU95" s="44"/>
      <c r="DV95" s="44"/>
      <c r="DW95" s="44"/>
      <c r="DX95" s="44"/>
      <c r="DY95" s="44"/>
      <c r="DZ95" s="44"/>
      <c r="EA95" s="44"/>
      <c r="EB95" s="44"/>
      <c r="EC95" s="44"/>
      <c r="ED95" s="44"/>
      <c r="EE95" s="44"/>
      <c r="EF95" s="44"/>
      <c r="EG95" s="44"/>
      <c r="EH95" s="44"/>
      <c r="EI95" s="44"/>
      <c r="EJ95" s="44"/>
      <c r="EK95" s="44"/>
      <c r="EL95" s="44"/>
      <c r="EM95" s="44"/>
      <c r="EN95" s="44"/>
      <c r="EO95" s="44"/>
      <c r="EP95" s="44"/>
      <c r="EQ95" s="44"/>
      <c r="ER95" s="44"/>
      <c r="ES95" s="44"/>
      <c r="ET95" s="44"/>
      <c r="EU95" s="44"/>
      <c r="EV95" s="44"/>
      <c r="EW95" s="44"/>
      <c r="EX95" s="44"/>
      <c r="EY95" s="44"/>
      <c r="EZ95" s="44"/>
      <c r="FA95" s="44"/>
      <c r="FB95" s="44"/>
      <c r="FC95" s="44"/>
      <c r="FD95" s="44"/>
      <c r="FE95" s="44"/>
      <c r="FF95" s="44"/>
      <c r="FG95" s="44"/>
      <c r="FH95" s="44"/>
      <c r="FI95" s="44"/>
      <c r="FJ95" s="44"/>
      <c r="FK95" s="44"/>
      <c r="FL95" s="44"/>
      <c r="FM95" s="44"/>
      <c r="FN95" s="44"/>
      <c r="FO95" s="44"/>
      <c r="FP95" s="44"/>
      <c r="FQ95" s="44"/>
      <c r="FR95" s="44"/>
      <c r="FS95" s="44"/>
      <c r="FT95" s="44"/>
      <c r="FU95" s="44"/>
      <c r="FV95" s="44"/>
      <c r="FW95" s="44"/>
      <c r="FX95" s="44"/>
      <c r="FY95" s="44"/>
      <c r="FZ95" s="44"/>
      <c r="GA95" s="44"/>
      <c r="GB95" s="44"/>
      <c r="GC95" s="44"/>
    </row>
    <row r="96" spans="1:185" s="45" customFormat="1" ht="54" customHeight="1" x14ac:dyDescent="0.25">
      <c r="A96" s="116" t="s">
        <v>108</v>
      </c>
      <c r="B96" s="276">
        <f>'2 уровень'!C204</f>
        <v>150</v>
      </c>
      <c r="C96" s="276">
        <f>'2 уровень'!D204</f>
        <v>100</v>
      </c>
      <c r="D96" s="69">
        <f>'2 уровень'!E204</f>
        <v>46</v>
      </c>
      <c r="E96" s="277">
        <f>'2 уровень'!F204</f>
        <v>46</v>
      </c>
      <c r="F96" s="278">
        <f>'2 уровень'!G204</f>
        <v>318.07650000000001</v>
      </c>
      <c r="G96" s="278">
        <f>'2 уровень'!H204</f>
        <v>212.05</v>
      </c>
      <c r="H96" s="691">
        <f>'2 уровень'!I204</f>
        <v>2.9668500000000204</v>
      </c>
      <c r="I96" s="278">
        <f>'2 уровень'!J204</f>
        <v>1.3991275642537233</v>
      </c>
      <c r="J96" s="103"/>
      <c r="K96" s="726"/>
      <c r="L96" s="727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44"/>
      <c r="BB96" s="44"/>
      <c r="BC96" s="44"/>
      <c r="BD96" s="44"/>
      <c r="BE96" s="44"/>
      <c r="BF96" s="44"/>
      <c r="BG96" s="44"/>
      <c r="BH96" s="44"/>
      <c r="BI96" s="44"/>
      <c r="BJ96" s="44"/>
      <c r="BK96" s="44"/>
      <c r="BL96" s="44"/>
      <c r="BM96" s="44"/>
      <c r="BN96" s="44"/>
      <c r="BO96" s="44"/>
      <c r="BP96" s="44"/>
      <c r="BQ96" s="44"/>
      <c r="BR96" s="44"/>
      <c r="BS96" s="44"/>
      <c r="BT96" s="44"/>
      <c r="BU96" s="44"/>
      <c r="BV96" s="44"/>
      <c r="BW96" s="44"/>
      <c r="BX96" s="44"/>
      <c r="BY96" s="44"/>
      <c r="BZ96" s="44"/>
      <c r="CA96" s="44"/>
      <c r="CB96" s="44"/>
      <c r="CC96" s="44"/>
      <c r="CD96" s="44"/>
      <c r="CE96" s="44"/>
      <c r="CF96" s="44"/>
      <c r="CG96" s="44"/>
      <c r="CH96" s="44"/>
      <c r="CI96" s="44"/>
      <c r="CJ96" s="44"/>
      <c r="CK96" s="44"/>
      <c r="CL96" s="44"/>
      <c r="CM96" s="44"/>
      <c r="CN96" s="44"/>
      <c r="CO96" s="44"/>
      <c r="CP96" s="44"/>
      <c r="CQ96" s="44"/>
      <c r="CR96" s="44"/>
      <c r="CS96" s="44"/>
      <c r="CT96" s="44"/>
      <c r="CU96" s="44"/>
      <c r="CV96" s="44"/>
      <c r="CW96" s="44"/>
      <c r="CX96" s="44"/>
      <c r="CY96" s="44"/>
      <c r="CZ96" s="44"/>
      <c r="DA96" s="44"/>
      <c r="DB96" s="44"/>
      <c r="DC96" s="44"/>
      <c r="DD96" s="44"/>
      <c r="DE96" s="44"/>
      <c r="DF96" s="44"/>
      <c r="DG96" s="44"/>
      <c r="DH96" s="44"/>
      <c r="DI96" s="44"/>
      <c r="DJ96" s="44"/>
      <c r="DK96" s="44"/>
      <c r="DL96" s="44"/>
      <c r="DM96" s="44"/>
      <c r="DN96" s="44"/>
      <c r="DO96" s="44"/>
      <c r="DP96" s="44"/>
      <c r="DQ96" s="44"/>
      <c r="DR96" s="44"/>
      <c r="DS96" s="44"/>
      <c r="DT96" s="44"/>
      <c r="DU96" s="44"/>
      <c r="DV96" s="44"/>
      <c r="DW96" s="44"/>
      <c r="DX96" s="44"/>
      <c r="DY96" s="44"/>
      <c r="DZ96" s="44"/>
      <c r="EA96" s="44"/>
      <c r="EB96" s="44"/>
      <c r="EC96" s="44"/>
      <c r="ED96" s="44"/>
      <c r="EE96" s="44"/>
      <c r="EF96" s="44"/>
      <c r="EG96" s="44"/>
      <c r="EH96" s="44"/>
      <c r="EI96" s="44"/>
      <c r="EJ96" s="44"/>
      <c r="EK96" s="44"/>
      <c r="EL96" s="44"/>
      <c r="EM96" s="44"/>
      <c r="EN96" s="44"/>
      <c r="EO96" s="44"/>
      <c r="EP96" s="44"/>
      <c r="EQ96" s="44"/>
      <c r="ER96" s="44"/>
      <c r="ES96" s="44"/>
      <c r="ET96" s="44"/>
      <c r="EU96" s="44"/>
      <c r="EV96" s="44"/>
      <c r="EW96" s="44"/>
      <c r="EX96" s="44"/>
      <c r="EY96" s="44"/>
      <c r="EZ96" s="44"/>
      <c r="FA96" s="44"/>
      <c r="FB96" s="44"/>
      <c r="FC96" s="44"/>
      <c r="FD96" s="44"/>
      <c r="FE96" s="44"/>
      <c r="FF96" s="44"/>
      <c r="FG96" s="44"/>
      <c r="FH96" s="44"/>
      <c r="FI96" s="44"/>
      <c r="FJ96" s="44"/>
      <c r="FK96" s="44"/>
      <c r="FL96" s="44"/>
      <c r="FM96" s="44"/>
      <c r="FN96" s="44"/>
      <c r="FO96" s="44"/>
      <c r="FP96" s="44"/>
      <c r="FQ96" s="44"/>
      <c r="FR96" s="44"/>
      <c r="FS96" s="44"/>
      <c r="FT96" s="44"/>
      <c r="FU96" s="44"/>
      <c r="FV96" s="44"/>
      <c r="FW96" s="44"/>
      <c r="FX96" s="44"/>
      <c r="FY96" s="44"/>
      <c r="FZ96" s="44"/>
      <c r="GA96" s="44"/>
      <c r="GB96" s="44"/>
      <c r="GC96" s="44"/>
    </row>
    <row r="97" spans="1:185" s="45" customFormat="1" ht="60" x14ac:dyDescent="0.25">
      <c r="A97" s="116" t="s">
        <v>81</v>
      </c>
      <c r="B97" s="276">
        <f>'2 уровень'!C205</f>
        <v>3500</v>
      </c>
      <c r="C97" s="276">
        <f>'2 уровень'!D205</f>
        <v>2333</v>
      </c>
      <c r="D97" s="69">
        <f>'2 уровень'!E205</f>
        <v>703</v>
      </c>
      <c r="E97" s="277">
        <f>'2 уровень'!F205</f>
        <v>30.132876125160735</v>
      </c>
      <c r="F97" s="278">
        <f>'2 уровень'!G205</f>
        <v>9636.0949999999993</v>
      </c>
      <c r="G97" s="278">
        <f>'2 уровень'!H205</f>
        <v>6424.06</v>
      </c>
      <c r="H97" s="691">
        <f>'2 уровень'!I205</f>
        <v>2130.75839</v>
      </c>
      <c r="I97" s="278">
        <f>'2 уровень'!J205</f>
        <v>33.168407362322263</v>
      </c>
      <c r="J97" s="103"/>
      <c r="K97" s="726"/>
      <c r="L97" s="727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4"/>
      <c r="AW97" s="44"/>
      <c r="AX97" s="44"/>
      <c r="AY97" s="44"/>
      <c r="AZ97" s="44"/>
      <c r="BA97" s="44"/>
      <c r="BB97" s="44"/>
      <c r="BC97" s="44"/>
      <c r="BD97" s="44"/>
      <c r="BE97" s="44"/>
      <c r="BF97" s="44"/>
      <c r="BG97" s="44"/>
      <c r="BH97" s="44"/>
      <c r="BI97" s="44"/>
      <c r="BJ97" s="44"/>
      <c r="BK97" s="44"/>
      <c r="BL97" s="44"/>
      <c r="BM97" s="44"/>
      <c r="BN97" s="44"/>
      <c r="BO97" s="44"/>
      <c r="BP97" s="44"/>
      <c r="BQ97" s="44"/>
      <c r="BR97" s="44"/>
      <c r="BS97" s="44"/>
      <c r="BT97" s="44"/>
      <c r="BU97" s="44"/>
      <c r="BV97" s="44"/>
      <c r="BW97" s="44"/>
      <c r="BX97" s="44"/>
      <c r="BY97" s="44"/>
      <c r="BZ97" s="44"/>
      <c r="CA97" s="44"/>
      <c r="CB97" s="44"/>
      <c r="CC97" s="44"/>
      <c r="CD97" s="44"/>
      <c r="CE97" s="44"/>
      <c r="CF97" s="44"/>
      <c r="CG97" s="44"/>
      <c r="CH97" s="44"/>
      <c r="CI97" s="44"/>
      <c r="CJ97" s="44"/>
      <c r="CK97" s="44"/>
      <c r="CL97" s="44"/>
      <c r="CM97" s="44"/>
      <c r="CN97" s="44"/>
      <c r="CO97" s="44"/>
      <c r="CP97" s="44"/>
      <c r="CQ97" s="44"/>
      <c r="CR97" s="44"/>
      <c r="CS97" s="44"/>
      <c r="CT97" s="44"/>
      <c r="CU97" s="44"/>
      <c r="CV97" s="44"/>
      <c r="CW97" s="44"/>
      <c r="CX97" s="44"/>
      <c r="CY97" s="44"/>
      <c r="CZ97" s="44"/>
      <c r="DA97" s="44"/>
      <c r="DB97" s="44"/>
      <c r="DC97" s="44"/>
      <c r="DD97" s="44"/>
      <c r="DE97" s="44"/>
      <c r="DF97" s="44"/>
      <c r="DG97" s="44"/>
      <c r="DH97" s="44"/>
      <c r="DI97" s="44"/>
      <c r="DJ97" s="44"/>
      <c r="DK97" s="44"/>
      <c r="DL97" s="44"/>
      <c r="DM97" s="44"/>
      <c r="DN97" s="44"/>
      <c r="DO97" s="44"/>
      <c r="DP97" s="44"/>
      <c r="DQ97" s="44"/>
      <c r="DR97" s="44"/>
      <c r="DS97" s="44"/>
      <c r="DT97" s="44"/>
      <c r="DU97" s="44"/>
      <c r="DV97" s="44"/>
      <c r="DW97" s="44"/>
      <c r="DX97" s="44"/>
      <c r="DY97" s="44"/>
      <c r="DZ97" s="44"/>
      <c r="EA97" s="44"/>
      <c r="EB97" s="44"/>
      <c r="EC97" s="44"/>
      <c r="ED97" s="44"/>
      <c r="EE97" s="44"/>
      <c r="EF97" s="44"/>
      <c r="EG97" s="44"/>
      <c r="EH97" s="44"/>
      <c r="EI97" s="44"/>
      <c r="EJ97" s="44"/>
      <c r="EK97" s="44"/>
      <c r="EL97" s="44"/>
      <c r="EM97" s="44"/>
      <c r="EN97" s="44"/>
      <c r="EO97" s="44"/>
      <c r="EP97" s="44"/>
      <c r="EQ97" s="44"/>
      <c r="ER97" s="44"/>
      <c r="ES97" s="44"/>
      <c r="ET97" s="44"/>
      <c r="EU97" s="44"/>
      <c r="EV97" s="44"/>
      <c r="EW97" s="44"/>
      <c r="EX97" s="44"/>
      <c r="EY97" s="44"/>
      <c r="EZ97" s="44"/>
      <c r="FA97" s="44"/>
      <c r="FB97" s="44"/>
      <c r="FC97" s="44"/>
      <c r="FD97" s="44"/>
      <c r="FE97" s="44"/>
      <c r="FF97" s="44"/>
      <c r="FG97" s="44"/>
      <c r="FH97" s="44"/>
      <c r="FI97" s="44"/>
      <c r="FJ97" s="44"/>
      <c r="FK97" s="44"/>
      <c r="FL97" s="44"/>
      <c r="FM97" s="44"/>
      <c r="FN97" s="44"/>
      <c r="FO97" s="44"/>
      <c r="FP97" s="44"/>
      <c r="FQ97" s="44"/>
      <c r="FR97" s="44"/>
      <c r="FS97" s="44"/>
      <c r="FT97" s="44"/>
      <c r="FU97" s="44"/>
      <c r="FV97" s="44"/>
      <c r="FW97" s="44"/>
      <c r="FX97" s="44"/>
      <c r="FY97" s="44"/>
      <c r="FZ97" s="44"/>
      <c r="GA97" s="44"/>
      <c r="GB97" s="44"/>
      <c r="GC97" s="44"/>
    </row>
    <row r="98" spans="1:185" s="45" customFormat="1" ht="45" x14ac:dyDescent="0.25">
      <c r="A98" s="116" t="s">
        <v>109</v>
      </c>
      <c r="B98" s="276">
        <f>'2 уровень'!C206</f>
        <v>700</v>
      </c>
      <c r="C98" s="276">
        <f>'2 уровень'!D206</f>
        <v>467</v>
      </c>
      <c r="D98" s="69">
        <f>'2 уровень'!E206</f>
        <v>629</v>
      </c>
      <c r="E98" s="277">
        <f>'2 уровень'!F206</f>
        <v>134.68950749464668</v>
      </c>
      <c r="F98" s="278">
        <f>'2 уровень'!G206</f>
        <v>686.11199999999997</v>
      </c>
      <c r="G98" s="278">
        <f>'2 уровень'!H206</f>
        <v>457.41</v>
      </c>
      <c r="H98" s="691">
        <f>'2 уровень'!I206</f>
        <v>572.24267000000009</v>
      </c>
      <c r="I98" s="278">
        <f>'2 уровень'!J206</f>
        <v>125.10497584224221</v>
      </c>
      <c r="J98" s="103"/>
      <c r="K98" s="726"/>
      <c r="L98" s="727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4"/>
      <c r="BA98" s="44"/>
      <c r="BB98" s="44"/>
      <c r="BC98" s="44"/>
      <c r="BD98" s="44"/>
      <c r="BE98" s="44"/>
      <c r="BF98" s="44"/>
      <c r="BG98" s="44"/>
      <c r="BH98" s="44"/>
      <c r="BI98" s="44"/>
      <c r="BJ98" s="44"/>
      <c r="BK98" s="44"/>
      <c r="BL98" s="44"/>
      <c r="BM98" s="44"/>
      <c r="BN98" s="44"/>
      <c r="BO98" s="44"/>
      <c r="BP98" s="44"/>
      <c r="BQ98" s="44"/>
      <c r="BR98" s="44"/>
      <c r="BS98" s="44"/>
      <c r="BT98" s="44"/>
      <c r="BU98" s="44"/>
      <c r="BV98" s="44"/>
      <c r="BW98" s="44"/>
      <c r="BX98" s="44"/>
      <c r="BY98" s="44"/>
      <c r="BZ98" s="44"/>
      <c r="CA98" s="44"/>
      <c r="CB98" s="44"/>
      <c r="CC98" s="44"/>
      <c r="CD98" s="44"/>
      <c r="CE98" s="44"/>
      <c r="CF98" s="44"/>
      <c r="CG98" s="44"/>
      <c r="CH98" s="44"/>
      <c r="CI98" s="44"/>
      <c r="CJ98" s="44"/>
      <c r="CK98" s="44"/>
      <c r="CL98" s="44"/>
      <c r="CM98" s="44"/>
      <c r="CN98" s="44"/>
      <c r="CO98" s="44"/>
      <c r="CP98" s="44"/>
      <c r="CQ98" s="44"/>
      <c r="CR98" s="44"/>
      <c r="CS98" s="44"/>
      <c r="CT98" s="44"/>
      <c r="CU98" s="44"/>
      <c r="CV98" s="44"/>
      <c r="CW98" s="44"/>
      <c r="CX98" s="44"/>
      <c r="CY98" s="44"/>
      <c r="CZ98" s="44"/>
      <c r="DA98" s="44"/>
      <c r="DB98" s="44"/>
      <c r="DC98" s="44"/>
      <c r="DD98" s="44"/>
      <c r="DE98" s="44"/>
      <c r="DF98" s="44"/>
      <c r="DG98" s="44"/>
      <c r="DH98" s="44"/>
      <c r="DI98" s="44"/>
      <c r="DJ98" s="44"/>
      <c r="DK98" s="44"/>
      <c r="DL98" s="44"/>
      <c r="DM98" s="44"/>
      <c r="DN98" s="44"/>
      <c r="DO98" s="44"/>
      <c r="DP98" s="44"/>
      <c r="DQ98" s="44"/>
      <c r="DR98" s="44"/>
      <c r="DS98" s="44"/>
      <c r="DT98" s="44"/>
      <c r="DU98" s="44"/>
      <c r="DV98" s="44"/>
      <c r="DW98" s="44"/>
      <c r="DX98" s="44"/>
      <c r="DY98" s="44"/>
      <c r="DZ98" s="44"/>
      <c r="EA98" s="44"/>
      <c r="EB98" s="44"/>
      <c r="EC98" s="44"/>
      <c r="ED98" s="44"/>
      <c r="EE98" s="44"/>
      <c r="EF98" s="44"/>
      <c r="EG98" s="44"/>
      <c r="EH98" s="44"/>
      <c r="EI98" s="44"/>
      <c r="EJ98" s="44"/>
      <c r="EK98" s="44"/>
      <c r="EL98" s="44"/>
      <c r="EM98" s="44"/>
      <c r="EN98" s="44"/>
      <c r="EO98" s="44"/>
      <c r="EP98" s="44"/>
      <c r="EQ98" s="44"/>
      <c r="ER98" s="44"/>
      <c r="ES98" s="44"/>
      <c r="ET98" s="44"/>
      <c r="EU98" s="44"/>
      <c r="EV98" s="44"/>
      <c r="EW98" s="44"/>
      <c r="EX98" s="44"/>
      <c r="EY98" s="44"/>
      <c r="EZ98" s="44"/>
      <c r="FA98" s="44"/>
      <c r="FB98" s="44"/>
      <c r="FC98" s="44"/>
      <c r="FD98" s="44"/>
      <c r="FE98" s="44"/>
      <c r="FF98" s="44"/>
      <c r="FG98" s="44"/>
      <c r="FH98" s="44"/>
      <c r="FI98" s="44"/>
      <c r="FJ98" s="44"/>
      <c r="FK98" s="44"/>
      <c r="FL98" s="44"/>
      <c r="FM98" s="44"/>
      <c r="FN98" s="44"/>
      <c r="FO98" s="44"/>
      <c r="FP98" s="44"/>
      <c r="FQ98" s="44"/>
      <c r="FR98" s="44"/>
      <c r="FS98" s="44"/>
      <c r="FT98" s="44"/>
      <c r="FU98" s="44"/>
      <c r="FV98" s="44"/>
      <c r="FW98" s="44"/>
      <c r="FX98" s="44"/>
      <c r="FY98" s="44"/>
      <c r="FZ98" s="44"/>
      <c r="GA98" s="44"/>
      <c r="GB98" s="44"/>
      <c r="GC98" s="44"/>
    </row>
    <row r="99" spans="1:185" s="45" customFormat="1" ht="38.1" customHeight="1" x14ac:dyDescent="0.25">
      <c r="A99" s="667" t="s">
        <v>123</v>
      </c>
      <c r="B99" s="562">
        <f>'2 уровень'!C207</f>
        <v>6950</v>
      </c>
      <c r="C99" s="562">
        <f>'2 уровень'!D207</f>
        <v>4633</v>
      </c>
      <c r="D99" s="687">
        <f>'2 уровень'!E207</f>
        <v>4870</v>
      </c>
      <c r="E99" s="563">
        <f>'2 уровень'!F207</f>
        <v>105.1154759335204</v>
      </c>
      <c r="F99" s="564">
        <f>'2 уровень'!G207</f>
        <v>6763.8789999999999</v>
      </c>
      <c r="G99" s="564">
        <f>'2 уровень'!H207</f>
        <v>4509.25</v>
      </c>
      <c r="H99" s="693">
        <f>'2 уровень'!I207</f>
        <v>4709.8475200000003</v>
      </c>
      <c r="I99" s="564">
        <f>'2 уровень'!J207</f>
        <v>104.4485783666907</v>
      </c>
      <c r="J99" s="103"/>
      <c r="K99" s="103"/>
      <c r="L99" s="103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4"/>
      <c r="BE99" s="44"/>
      <c r="BF99" s="44"/>
      <c r="BG99" s="44"/>
      <c r="BH99" s="44"/>
      <c r="BI99" s="44"/>
      <c r="BJ99" s="44"/>
      <c r="BK99" s="44"/>
      <c r="BL99" s="44"/>
      <c r="BM99" s="44"/>
      <c r="BN99" s="44"/>
      <c r="BO99" s="44"/>
      <c r="BP99" s="44"/>
      <c r="BQ99" s="44"/>
      <c r="BR99" s="44"/>
      <c r="BS99" s="44"/>
      <c r="BT99" s="44"/>
      <c r="BU99" s="44"/>
      <c r="BV99" s="44"/>
      <c r="BW99" s="44"/>
      <c r="BX99" s="44"/>
      <c r="BY99" s="44"/>
      <c r="BZ99" s="44"/>
      <c r="CA99" s="44"/>
      <c r="CB99" s="44"/>
      <c r="CC99" s="44"/>
      <c r="CD99" s="44"/>
      <c r="CE99" s="44"/>
      <c r="CF99" s="44"/>
      <c r="CG99" s="44"/>
      <c r="CH99" s="44"/>
      <c r="CI99" s="44"/>
      <c r="CJ99" s="44"/>
      <c r="CK99" s="44"/>
      <c r="CL99" s="44"/>
      <c r="CM99" s="44"/>
      <c r="CN99" s="44"/>
      <c r="CO99" s="44"/>
      <c r="CP99" s="44"/>
      <c r="CQ99" s="44"/>
      <c r="CR99" s="44"/>
      <c r="CS99" s="44"/>
      <c r="CT99" s="44"/>
      <c r="CU99" s="44"/>
      <c r="CV99" s="44"/>
      <c r="CW99" s="44"/>
      <c r="CX99" s="44"/>
      <c r="CY99" s="44"/>
      <c r="CZ99" s="44"/>
      <c r="DA99" s="44"/>
      <c r="DB99" s="44"/>
      <c r="DC99" s="44"/>
      <c r="DD99" s="44"/>
      <c r="DE99" s="44"/>
      <c r="DF99" s="44"/>
      <c r="DG99" s="44"/>
      <c r="DH99" s="44"/>
      <c r="DI99" s="44"/>
      <c r="DJ99" s="44"/>
      <c r="DK99" s="44"/>
      <c r="DL99" s="44"/>
      <c r="DM99" s="44"/>
      <c r="DN99" s="44"/>
      <c r="DO99" s="44"/>
      <c r="DP99" s="44"/>
      <c r="DQ99" s="44"/>
      <c r="DR99" s="44"/>
      <c r="DS99" s="44"/>
      <c r="DT99" s="44"/>
      <c r="DU99" s="44"/>
      <c r="DV99" s="44"/>
      <c r="DW99" s="44"/>
      <c r="DX99" s="44"/>
      <c r="DY99" s="44"/>
      <c r="DZ99" s="44"/>
      <c r="EA99" s="44"/>
      <c r="EB99" s="44"/>
      <c r="EC99" s="44"/>
      <c r="ED99" s="44"/>
      <c r="EE99" s="44"/>
      <c r="EF99" s="44"/>
      <c r="EG99" s="44"/>
      <c r="EH99" s="44"/>
      <c r="EI99" s="44"/>
      <c r="EJ99" s="44"/>
      <c r="EK99" s="44"/>
      <c r="EL99" s="44"/>
      <c r="EM99" s="44"/>
      <c r="EN99" s="44"/>
      <c r="EO99" s="44"/>
      <c r="EP99" s="44"/>
      <c r="EQ99" s="44"/>
      <c r="ER99" s="44"/>
      <c r="ES99" s="44"/>
      <c r="ET99" s="44"/>
      <c r="EU99" s="44"/>
      <c r="EV99" s="44"/>
      <c r="EW99" s="44"/>
      <c r="EX99" s="44"/>
      <c r="EY99" s="44"/>
      <c r="EZ99" s="44"/>
      <c r="FA99" s="44"/>
      <c r="FB99" s="44"/>
      <c r="FC99" s="44"/>
      <c r="FD99" s="44"/>
      <c r="FE99" s="44"/>
      <c r="FF99" s="44"/>
      <c r="FG99" s="44"/>
      <c r="FH99" s="44"/>
      <c r="FI99" s="44"/>
      <c r="FJ99" s="44"/>
      <c r="FK99" s="44"/>
      <c r="FL99" s="44"/>
      <c r="FM99" s="44"/>
      <c r="FN99" s="44"/>
      <c r="FO99" s="44"/>
      <c r="FP99" s="44"/>
      <c r="FQ99" s="44"/>
      <c r="FR99" s="44"/>
      <c r="FS99" s="44"/>
      <c r="FT99" s="44"/>
      <c r="FU99" s="44"/>
      <c r="FV99" s="44"/>
      <c r="FW99" s="44"/>
      <c r="FX99" s="44"/>
      <c r="FY99" s="44"/>
      <c r="FZ99" s="44"/>
      <c r="GA99" s="44"/>
      <c r="GB99" s="44"/>
      <c r="GC99" s="44"/>
    </row>
    <row r="100" spans="1:185" s="45" customFormat="1" ht="38.1" customHeight="1" thickBot="1" x14ac:dyDescent="0.3">
      <c r="A100" s="667" t="s">
        <v>125</v>
      </c>
      <c r="B100" s="562">
        <f>'2 уровень'!C208</f>
        <v>1850</v>
      </c>
      <c r="C100" s="562">
        <f>'2 уровень'!D208</f>
        <v>1233</v>
      </c>
      <c r="D100" s="687">
        <f>'2 уровень'!E208</f>
        <v>1546</v>
      </c>
      <c r="E100" s="563">
        <f>'2 уровень'!F208</f>
        <v>125.38523925385239</v>
      </c>
      <c r="F100" s="564">
        <f>'2 уровень'!G208</f>
        <v>1800.4569999999999</v>
      </c>
      <c r="G100" s="564">
        <f>'2 уровень'!H208</f>
        <v>1200.3</v>
      </c>
      <c r="H100" s="693">
        <f>'2 уровень'!I208</f>
        <v>1496.4122000000002</v>
      </c>
      <c r="I100" s="564">
        <f>'2 уровень'!J208</f>
        <v>124.66984920436559</v>
      </c>
      <c r="J100" s="103"/>
      <c r="K100" s="103"/>
      <c r="L100" s="103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  <c r="AX100" s="44"/>
      <c r="AY100" s="44"/>
      <c r="AZ100" s="44"/>
      <c r="BA100" s="44"/>
      <c r="BB100" s="44"/>
      <c r="BC100" s="44"/>
      <c r="BD100" s="44"/>
      <c r="BE100" s="44"/>
      <c r="BF100" s="44"/>
      <c r="BG100" s="44"/>
      <c r="BH100" s="44"/>
      <c r="BI100" s="44"/>
      <c r="BJ100" s="44"/>
      <c r="BK100" s="44"/>
      <c r="BL100" s="44"/>
      <c r="BM100" s="44"/>
      <c r="BN100" s="44"/>
      <c r="BO100" s="44"/>
      <c r="BP100" s="44"/>
      <c r="BQ100" s="44"/>
      <c r="BR100" s="44"/>
      <c r="BS100" s="44"/>
      <c r="BT100" s="44"/>
      <c r="BU100" s="44"/>
      <c r="BV100" s="44"/>
      <c r="BW100" s="44"/>
      <c r="BX100" s="44"/>
      <c r="BY100" s="44"/>
      <c r="BZ100" s="44"/>
      <c r="CA100" s="44"/>
      <c r="CB100" s="44"/>
      <c r="CC100" s="44"/>
      <c r="CD100" s="44"/>
      <c r="CE100" s="44"/>
      <c r="CF100" s="44"/>
      <c r="CG100" s="44"/>
      <c r="CH100" s="44"/>
      <c r="CI100" s="44"/>
      <c r="CJ100" s="44"/>
      <c r="CK100" s="44"/>
      <c r="CL100" s="44"/>
      <c r="CM100" s="44"/>
      <c r="CN100" s="44"/>
      <c r="CO100" s="44"/>
      <c r="CP100" s="44"/>
      <c r="CQ100" s="44"/>
      <c r="CR100" s="44"/>
      <c r="CS100" s="44"/>
      <c r="CT100" s="44"/>
      <c r="CU100" s="44"/>
      <c r="CV100" s="44"/>
      <c r="CW100" s="44"/>
      <c r="CX100" s="44"/>
      <c r="CY100" s="44"/>
      <c r="CZ100" s="44"/>
      <c r="DA100" s="44"/>
      <c r="DB100" s="44"/>
      <c r="DC100" s="44"/>
      <c r="DD100" s="44"/>
      <c r="DE100" s="44"/>
      <c r="DF100" s="44"/>
      <c r="DG100" s="44"/>
      <c r="DH100" s="44"/>
      <c r="DI100" s="44"/>
      <c r="DJ100" s="44"/>
      <c r="DK100" s="44"/>
      <c r="DL100" s="44"/>
      <c r="DM100" s="44"/>
      <c r="DN100" s="44"/>
      <c r="DO100" s="44"/>
      <c r="DP100" s="44"/>
      <c r="DQ100" s="44"/>
      <c r="DR100" s="44"/>
      <c r="DS100" s="44"/>
      <c r="DT100" s="44"/>
      <c r="DU100" s="44"/>
      <c r="DV100" s="44"/>
      <c r="DW100" s="44"/>
      <c r="DX100" s="44"/>
      <c r="DY100" s="44"/>
      <c r="DZ100" s="44"/>
      <c r="EA100" s="44"/>
      <c r="EB100" s="44"/>
      <c r="EC100" s="44"/>
      <c r="ED100" s="44"/>
      <c r="EE100" s="44"/>
      <c r="EF100" s="44"/>
      <c r="EG100" s="44"/>
      <c r="EH100" s="44"/>
      <c r="EI100" s="44"/>
      <c r="EJ100" s="44"/>
      <c r="EK100" s="44"/>
      <c r="EL100" s="44"/>
      <c r="EM100" s="44"/>
      <c r="EN100" s="44"/>
      <c r="EO100" s="44"/>
      <c r="EP100" s="44"/>
      <c r="EQ100" s="44"/>
      <c r="ER100" s="44"/>
      <c r="ES100" s="44"/>
      <c r="ET100" s="44"/>
      <c r="EU100" s="44"/>
      <c r="EV100" s="44"/>
      <c r="EW100" s="44"/>
      <c r="EX100" s="44"/>
      <c r="EY100" s="44"/>
      <c r="EZ100" s="44"/>
      <c r="FA100" s="44"/>
      <c r="FB100" s="44"/>
      <c r="FC100" s="44"/>
      <c r="FD100" s="44"/>
      <c r="FE100" s="44"/>
      <c r="FF100" s="44"/>
      <c r="FG100" s="44"/>
      <c r="FH100" s="44"/>
      <c r="FI100" s="44"/>
      <c r="FJ100" s="44"/>
      <c r="FK100" s="44"/>
      <c r="FL100" s="44"/>
      <c r="FM100" s="44"/>
      <c r="FN100" s="44"/>
      <c r="FO100" s="44"/>
      <c r="FP100" s="44"/>
      <c r="FQ100" s="44"/>
      <c r="FR100" s="44"/>
      <c r="FS100" s="44"/>
      <c r="FT100" s="44"/>
      <c r="FU100" s="44"/>
      <c r="FV100" s="44"/>
      <c r="FW100" s="44"/>
      <c r="FX100" s="44"/>
      <c r="FY100" s="44"/>
      <c r="FZ100" s="44"/>
      <c r="GA100" s="44"/>
      <c r="GB100" s="44"/>
      <c r="GC100" s="44"/>
    </row>
    <row r="101" spans="1:185" s="45" customFormat="1" ht="15" customHeight="1" thickBot="1" x14ac:dyDescent="0.3">
      <c r="A101" s="548" t="s">
        <v>107</v>
      </c>
      <c r="B101" s="565">
        <f>'2 уровень'!C209</f>
        <v>0</v>
      </c>
      <c r="C101" s="565">
        <f>'2 уровень'!D209</f>
        <v>0</v>
      </c>
      <c r="D101" s="688">
        <f>'2 уровень'!E209</f>
        <v>0</v>
      </c>
      <c r="E101" s="566">
        <f>'2 уровень'!F209</f>
        <v>0</v>
      </c>
      <c r="F101" s="567">
        <f>'2 уровень'!G209</f>
        <v>24409.422749999998</v>
      </c>
      <c r="G101" s="567">
        <f>'2 уровень'!H209</f>
        <v>16272.95</v>
      </c>
      <c r="H101" s="694">
        <f>'2 уровень'!I209</f>
        <v>11708.239720000001</v>
      </c>
      <c r="I101" s="567">
        <f>'2 уровень'!J209</f>
        <v>71.94909171354918</v>
      </c>
      <c r="J101" s="103"/>
      <c r="K101" s="726"/>
      <c r="L101" s="727"/>
    </row>
    <row r="102" spans="1:185" ht="15" customHeight="1" x14ac:dyDescent="0.25">
      <c r="A102" s="221" t="s">
        <v>22</v>
      </c>
      <c r="B102" s="97"/>
      <c r="C102" s="97"/>
      <c r="D102" s="97"/>
      <c r="E102" s="183"/>
      <c r="F102" s="98"/>
      <c r="G102" s="98"/>
      <c r="H102" s="98"/>
      <c r="I102" s="98"/>
      <c r="J102" s="103"/>
      <c r="L102" s="727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  <c r="AT102" s="45"/>
      <c r="AU102" s="45"/>
      <c r="AV102" s="45"/>
      <c r="AW102" s="45"/>
      <c r="AX102" s="45"/>
      <c r="AY102" s="45"/>
      <c r="AZ102" s="45"/>
      <c r="BA102" s="45"/>
      <c r="BB102" s="45"/>
      <c r="BC102" s="45"/>
      <c r="BD102" s="45"/>
      <c r="BE102" s="45"/>
      <c r="BF102" s="45"/>
      <c r="BG102" s="45"/>
      <c r="BH102" s="45"/>
      <c r="BI102" s="45"/>
      <c r="BJ102" s="45"/>
      <c r="BK102" s="45"/>
      <c r="BL102" s="45"/>
      <c r="BM102" s="45"/>
      <c r="BN102" s="45"/>
      <c r="BO102" s="45"/>
      <c r="BP102" s="45"/>
      <c r="BQ102" s="45"/>
      <c r="BR102" s="45"/>
      <c r="BS102" s="45"/>
      <c r="BT102" s="45"/>
      <c r="BU102" s="45"/>
      <c r="BV102" s="45"/>
      <c r="BW102" s="45"/>
      <c r="BX102" s="45"/>
      <c r="BY102" s="45"/>
      <c r="BZ102" s="45"/>
      <c r="CA102" s="45"/>
      <c r="CB102" s="45"/>
      <c r="CC102" s="45"/>
      <c r="CD102" s="45"/>
      <c r="CE102" s="45"/>
      <c r="CF102" s="45"/>
      <c r="CG102" s="45"/>
      <c r="CH102" s="45"/>
      <c r="CI102" s="45"/>
      <c r="CJ102" s="45"/>
      <c r="CK102" s="45"/>
      <c r="CL102" s="45"/>
      <c r="CM102" s="45"/>
      <c r="CN102" s="45"/>
      <c r="CO102" s="45"/>
      <c r="CP102" s="45"/>
      <c r="CQ102" s="45"/>
      <c r="CR102" s="45"/>
      <c r="CS102" s="45"/>
      <c r="CT102" s="45"/>
      <c r="CU102" s="45"/>
      <c r="CV102" s="45"/>
      <c r="CW102" s="45"/>
      <c r="CX102" s="45"/>
      <c r="CY102" s="45"/>
      <c r="CZ102" s="45"/>
      <c r="DA102" s="45"/>
      <c r="DB102" s="45"/>
      <c r="DC102" s="45"/>
      <c r="DD102" s="45"/>
      <c r="DE102" s="45"/>
      <c r="DF102" s="45"/>
      <c r="DG102" s="45"/>
      <c r="DH102" s="45"/>
      <c r="DI102" s="45"/>
      <c r="DJ102" s="45"/>
      <c r="DK102" s="45"/>
      <c r="DL102" s="45"/>
      <c r="DM102" s="45"/>
      <c r="DN102" s="45"/>
      <c r="DO102" s="45"/>
      <c r="DP102" s="45"/>
      <c r="DQ102" s="45"/>
      <c r="DR102" s="45"/>
      <c r="DS102" s="45"/>
      <c r="DT102" s="45"/>
      <c r="DU102" s="45"/>
      <c r="DV102" s="45"/>
      <c r="DW102" s="45"/>
      <c r="DX102" s="45"/>
      <c r="DY102" s="45"/>
      <c r="DZ102" s="45"/>
      <c r="EA102" s="45"/>
      <c r="EB102" s="45"/>
      <c r="EC102" s="45"/>
      <c r="ED102" s="45"/>
      <c r="EE102" s="45"/>
      <c r="EF102" s="45"/>
      <c r="EG102" s="45"/>
      <c r="EH102" s="45"/>
      <c r="EI102" s="45"/>
      <c r="EJ102" s="45"/>
      <c r="EK102" s="45"/>
      <c r="EL102" s="45"/>
      <c r="EM102" s="45"/>
      <c r="EN102" s="45"/>
      <c r="EO102" s="45"/>
      <c r="EP102" s="45"/>
      <c r="EQ102" s="45"/>
      <c r="ER102" s="45"/>
      <c r="ES102" s="45"/>
      <c r="ET102" s="45"/>
      <c r="EU102" s="45"/>
      <c r="EV102" s="45"/>
      <c r="EW102" s="45"/>
      <c r="EX102" s="45"/>
      <c r="EY102" s="45"/>
      <c r="EZ102" s="45"/>
      <c r="FA102" s="45"/>
      <c r="FB102" s="45"/>
      <c r="FC102" s="45"/>
      <c r="FD102" s="45"/>
      <c r="FE102" s="45"/>
      <c r="FF102" s="45"/>
      <c r="FG102" s="45"/>
      <c r="FH102" s="45"/>
      <c r="FI102" s="45"/>
      <c r="FJ102" s="45"/>
      <c r="FK102" s="45"/>
      <c r="FL102" s="45"/>
      <c r="FM102" s="45"/>
      <c r="FN102" s="45"/>
      <c r="FO102" s="45"/>
      <c r="FP102" s="45"/>
      <c r="FQ102" s="45"/>
      <c r="FR102" s="45"/>
      <c r="FS102" s="45"/>
      <c r="FT102" s="45"/>
      <c r="FU102" s="45"/>
      <c r="FV102" s="45"/>
      <c r="FW102" s="45"/>
      <c r="FX102" s="45"/>
      <c r="FY102" s="45"/>
      <c r="FZ102" s="45"/>
      <c r="GA102" s="45"/>
      <c r="GB102" s="45"/>
      <c r="GC102" s="45"/>
    </row>
    <row r="103" spans="1:185" ht="30" x14ac:dyDescent="0.25">
      <c r="A103" s="542" t="s">
        <v>120</v>
      </c>
      <c r="B103" s="539">
        <f>'1 уровень'!C298</f>
        <v>4015</v>
      </c>
      <c r="C103" s="539">
        <f>'1 уровень'!D298</f>
        <v>2677</v>
      </c>
      <c r="D103" s="539">
        <f>'1 уровень'!E298</f>
        <v>975</v>
      </c>
      <c r="E103" s="540">
        <f>'1 уровень'!F298</f>
        <v>36.421367202091893</v>
      </c>
      <c r="F103" s="543">
        <f>'1 уровень'!G298</f>
        <v>7369.6050500000001</v>
      </c>
      <c r="G103" s="543">
        <f>'1 уровень'!H298</f>
        <v>4913.07</v>
      </c>
      <c r="H103" s="543">
        <f>'1 уровень'!I298</f>
        <v>2353.1381200000001</v>
      </c>
      <c r="I103" s="543">
        <f>'1 уровень'!J298</f>
        <v>47.89547309523374</v>
      </c>
      <c r="J103" s="103"/>
      <c r="L103" s="727"/>
    </row>
    <row r="104" spans="1:185" ht="30" x14ac:dyDescent="0.25">
      <c r="A104" s="116" t="s">
        <v>79</v>
      </c>
      <c r="B104" s="49">
        <f>'1 уровень'!C299</f>
        <v>2788</v>
      </c>
      <c r="C104" s="49">
        <f>'1 уровень'!D299</f>
        <v>1859</v>
      </c>
      <c r="D104" s="49">
        <f>'1 уровень'!E299</f>
        <v>731</v>
      </c>
      <c r="E104" s="180">
        <f>'1 уровень'!F299</f>
        <v>39.32221624529317</v>
      </c>
      <c r="F104" s="62">
        <f>'1 уровень'!G299</f>
        <v>3965.808</v>
      </c>
      <c r="G104" s="62">
        <f>'1 уровень'!H299</f>
        <v>2643.87</v>
      </c>
      <c r="H104" s="62">
        <f>'1 уровень'!I299</f>
        <v>1025.2131900000002</v>
      </c>
      <c r="I104" s="62">
        <f>'1 уровень'!J299</f>
        <v>38.776989413246497</v>
      </c>
      <c r="J104" s="103"/>
      <c r="L104" s="727"/>
    </row>
    <row r="105" spans="1:185" ht="30" x14ac:dyDescent="0.25">
      <c r="A105" s="116" t="s">
        <v>80</v>
      </c>
      <c r="B105" s="49">
        <f>'1 уровень'!C300</f>
        <v>837</v>
      </c>
      <c r="C105" s="49">
        <f>'1 уровень'!D300</f>
        <v>558</v>
      </c>
      <c r="D105" s="49">
        <f>'1 уровень'!E300</f>
        <v>1</v>
      </c>
      <c r="E105" s="180">
        <f>'1 уровень'!F300</f>
        <v>0.17921146953405018</v>
      </c>
      <c r="F105" s="62">
        <f>'1 уровень'!G300</f>
        <v>1271.12105</v>
      </c>
      <c r="G105" s="62">
        <f>'1 уровень'!H300</f>
        <v>847.41</v>
      </c>
      <c r="H105" s="62">
        <f>'1 уровень'!I300</f>
        <v>-0.8962699999999999</v>
      </c>
      <c r="I105" s="62">
        <f>'1 уровень'!J300</f>
        <v>-0.10576580403818694</v>
      </c>
      <c r="J105" s="103"/>
      <c r="L105" s="727"/>
    </row>
    <row r="106" spans="1:185" s="45" customFormat="1" ht="45" x14ac:dyDescent="0.25">
      <c r="A106" s="116" t="s">
        <v>110</v>
      </c>
      <c r="B106" s="69">
        <f>'1 уровень'!C301</f>
        <v>160</v>
      </c>
      <c r="C106" s="69">
        <f>'1 уровень'!D301</f>
        <v>107</v>
      </c>
      <c r="D106" s="48">
        <f>'1 уровень'!E301</f>
        <v>115</v>
      </c>
      <c r="E106" s="179">
        <f>'1 уровень'!F301</f>
        <v>107.4766355140187</v>
      </c>
      <c r="F106" s="46">
        <f>'1 уровень'!G301</f>
        <v>874.94399999999996</v>
      </c>
      <c r="G106" s="46">
        <f>'1 уровень'!H301</f>
        <v>583.29999999999995</v>
      </c>
      <c r="H106" s="46">
        <f>'1 уровень'!I301</f>
        <v>628.86599999999999</v>
      </c>
      <c r="I106" s="46">
        <f>'1 уровень'!J301</f>
        <v>107.81176067203842</v>
      </c>
      <c r="J106" s="103"/>
      <c r="K106" s="726"/>
      <c r="L106" s="727"/>
    </row>
    <row r="107" spans="1:185" ht="30" x14ac:dyDescent="0.25">
      <c r="A107" s="116" t="s">
        <v>111</v>
      </c>
      <c r="B107" s="49">
        <f>'1 уровень'!C302</f>
        <v>230</v>
      </c>
      <c r="C107" s="49">
        <f>'1 уровень'!D302</f>
        <v>153</v>
      </c>
      <c r="D107" s="49">
        <f>'1 уровень'!E302</f>
        <v>128</v>
      </c>
      <c r="E107" s="180">
        <f>'1 уровень'!F302</f>
        <v>83.66013071895425</v>
      </c>
      <c r="F107" s="62">
        <f>'1 уровень'!G302</f>
        <v>1257.732</v>
      </c>
      <c r="G107" s="62">
        <f>'1 уровень'!H302</f>
        <v>838.49</v>
      </c>
      <c r="H107" s="62">
        <f>'1 уровень'!I302</f>
        <v>699.95519999999999</v>
      </c>
      <c r="I107" s="62">
        <f>'1 уровень'!J302</f>
        <v>83.478061753867067</v>
      </c>
      <c r="J107" s="103"/>
      <c r="L107" s="727"/>
    </row>
    <row r="108" spans="1:185" ht="30" x14ac:dyDescent="0.25">
      <c r="A108" s="542" t="s">
        <v>112</v>
      </c>
      <c r="B108" s="539">
        <f>'1 уровень'!C303</f>
        <v>5859</v>
      </c>
      <c r="C108" s="539">
        <f>'1 уровень'!D303</f>
        <v>3906</v>
      </c>
      <c r="D108" s="539">
        <f>'1 уровень'!E303</f>
        <v>3232</v>
      </c>
      <c r="E108" s="540">
        <f>'1 уровень'!F303</f>
        <v>82.74449564772145</v>
      </c>
      <c r="F108" s="543">
        <f>'1 уровень'!G303</f>
        <v>12236.931200000001</v>
      </c>
      <c r="G108" s="543">
        <f>'1 уровень'!H303</f>
        <v>8157.9599999999991</v>
      </c>
      <c r="H108" s="543">
        <f>'1 уровень'!I303</f>
        <v>7711.8541800000003</v>
      </c>
      <c r="I108" s="543">
        <f>'1 уровень'!J303</f>
        <v>94.531649824220779</v>
      </c>
      <c r="J108" s="103"/>
      <c r="L108" s="727"/>
    </row>
    <row r="109" spans="1:185" ht="30" x14ac:dyDescent="0.25">
      <c r="A109" s="116" t="s">
        <v>108</v>
      </c>
      <c r="B109" s="49">
        <f>'1 уровень'!C304</f>
        <v>1000</v>
      </c>
      <c r="C109" s="49">
        <f>'1 уровень'!D304</f>
        <v>667</v>
      </c>
      <c r="D109" s="49">
        <f>'1 уровень'!E304</f>
        <v>861</v>
      </c>
      <c r="E109" s="180">
        <f>'1 уровень'!F304</f>
        <v>129.08545727136431</v>
      </c>
      <c r="F109" s="62">
        <f>'1 уровень'!G304</f>
        <v>1767.1</v>
      </c>
      <c r="G109" s="62">
        <f>'1 уровень'!H304</f>
        <v>1178.07</v>
      </c>
      <c r="H109" s="62">
        <f>'1 уровень'!I304</f>
        <v>1538.9505800000002</v>
      </c>
      <c r="I109" s="62">
        <f>'1 уровень'!J304</f>
        <v>130.63320345989629</v>
      </c>
      <c r="J109" s="103"/>
      <c r="L109" s="727"/>
    </row>
    <row r="110" spans="1:185" ht="60" x14ac:dyDescent="0.25">
      <c r="A110" s="116" t="s">
        <v>81</v>
      </c>
      <c r="B110" s="49">
        <f>'1 уровень'!C305</f>
        <v>4400</v>
      </c>
      <c r="C110" s="49">
        <f>'1 уровень'!D305</f>
        <v>2933</v>
      </c>
      <c r="D110" s="49">
        <f>'1 уровень'!E305</f>
        <v>2309</v>
      </c>
      <c r="E110" s="180">
        <f>'1 уровень'!F305</f>
        <v>78.724855097170135</v>
      </c>
      <c r="F110" s="62">
        <f>'1 уровень'!G305</f>
        <v>10094.92</v>
      </c>
      <c r="G110" s="62">
        <f>'1 уровень'!H305</f>
        <v>6729.95</v>
      </c>
      <c r="H110" s="62">
        <f>'1 уровень'!I305</f>
        <v>6125.6236399999998</v>
      </c>
      <c r="I110" s="62">
        <f>'1 уровень'!J305</f>
        <v>91.020343984724988</v>
      </c>
      <c r="J110" s="103"/>
      <c r="L110" s="727"/>
    </row>
    <row r="111" spans="1:185" ht="45" x14ac:dyDescent="0.25">
      <c r="A111" s="116" t="s">
        <v>109</v>
      </c>
      <c r="B111" s="49">
        <f>'1 уровень'!C306</f>
        <v>459</v>
      </c>
      <c r="C111" s="49">
        <f>'1 уровень'!D306</f>
        <v>306</v>
      </c>
      <c r="D111" s="49">
        <f>'1 уровень'!E306</f>
        <v>62</v>
      </c>
      <c r="E111" s="180">
        <f>'1 уровень'!F306</f>
        <v>20.261437908496731</v>
      </c>
      <c r="F111" s="62">
        <f>'1 уровень'!G306</f>
        <v>374.91120000000001</v>
      </c>
      <c r="G111" s="62">
        <f>'1 уровень'!H306</f>
        <v>249.94</v>
      </c>
      <c r="H111" s="62">
        <f>'1 уровень'!I306</f>
        <v>47.279960000000003</v>
      </c>
      <c r="I111" s="62">
        <f>'1 уровень'!J306</f>
        <v>18.916523965751779</v>
      </c>
      <c r="J111" s="103"/>
      <c r="L111" s="727"/>
    </row>
    <row r="112" spans="1:185" ht="30" x14ac:dyDescent="0.25">
      <c r="A112" s="285" t="s">
        <v>123</v>
      </c>
      <c r="B112" s="544">
        <f>'1 уровень'!C307</f>
        <v>12363</v>
      </c>
      <c r="C112" s="544">
        <f>'1 уровень'!D307</f>
        <v>8242</v>
      </c>
      <c r="D112" s="544">
        <f>'1 уровень'!E307</f>
        <v>4147</v>
      </c>
      <c r="E112" s="545">
        <f>'1 уровень'!F307</f>
        <v>50.315457413249206</v>
      </c>
      <c r="F112" s="546">
        <f>'1 уровень'!G307</f>
        <v>10026.64026</v>
      </c>
      <c r="G112" s="546">
        <f>'1 уровень'!H307</f>
        <v>6684.43</v>
      </c>
      <c r="H112" s="546">
        <f>'1 уровень'!I307</f>
        <v>3359.6661100000001</v>
      </c>
      <c r="I112" s="546">
        <f>'1 уровень'!J307</f>
        <v>50.261071026250562</v>
      </c>
      <c r="J112" s="103"/>
      <c r="K112" s="103"/>
      <c r="L112" s="103"/>
    </row>
    <row r="113" spans="1:185" s="45" customFormat="1" ht="30.75" thickBot="1" x14ac:dyDescent="0.3">
      <c r="A113" s="667" t="s">
        <v>125</v>
      </c>
      <c r="B113" s="544">
        <f>'1 уровень'!C308</f>
        <v>6500</v>
      </c>
      <c r="C113" s="544">
        <f>'1 уровень'!D308</f>
        <v>4333</v>
      </c>
      <c r="D113" s="544">
        <f>'1 уровень'!E308</f>
        <v>898</v>
      </c>
      <c r="E113" s="545">
        <f>'1 уровень'!F308</f>
        <v>20.724671128548351</v>
      </c>
      <c r="F113" s="546">
        <f>'1 уровень'!G308</f>
        <v>5271.63</v>
      </c>
      <c r="G113" s="546">
        <f>'1 уровень'!H308</f>
        <v>3514.42</v>
      </c>
      <c r="H113" s="546">
        <f>'1 уровень'!I308</f>
        <v>726.27323999999999</v>
      </c>
      <c r="I113" s="546">
        <f>'1 уровень'!J308</f>
        <v>20.66552204915747</v>
      </c>
      <c r="J113" s="103"/>
      <c r="K113" s="103"/>
      <c r="L113" s="103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4"/>
      <c r="AV113" s="44"/>
      <c r="AW113" s="44"/>
      <c r="AX113" s="44"/>
      <c r="AY113" s="44"/>
      <c r="AZ113" s="44"/>
      <c r="BA113" s="44"/>
      <c r="BB113" s="44"/>
      <c r="BC113" s="44"/>
      <c r="BD113" s="44"/>
      <c r="BE113" s="44"/>
      <c r="BF113" s="44"/>
      <c r="BG113" s="44"/>
      <c r="BH113" s="44"/>
      <c r="BI113" s="44"/>
      <c r="BJ113" s="44"/>
      <c r="BK113" s="44"/>
      <c r="BL113" s="44"/>
      <c r="BM113" s="44"/>
      <c r="BN113" s="44"/>
      <c r="BO113" s="44"/>
      <c r="BP113" s="44"/>
      <c r="BQ113" s="44"/>
      <c r="BR113" s="44"/>
      <c r="BS113" s="44"/>
      <c r="BT113" s="44"/>
      <c r="BU113" s="44"/>
      <c r="BV113" s="44"/>
      <c r="BW113" s="44"/>
      <c r="BX113" s="44"/>
      <c r="BY113" s="44"/>
      <c r="BZ113" s="44"/>
      <c r="CA113" s="44"/>
      <c r="CB113" s="44"/>
      <c r="CC113" s="44"/>
      <c r="CD113" s="44"/>
      <c r="CE113" s="44"/>
      <c r="CF113" s="44"/>
      <c r="CG113" s="44"/>
      <c r="CH113" s="44"/>
      <c r="CI113" s="44"/>
      <c r="CJ113" s="44"/>
      <c r="CK113" s="44"/>
      <c r="CL113" s="44"/>
      <c r="CM113" s="44"/>
      <c r="CN113" s="44"/>
      <c r="CO113" s="44"/>
      <c r="CP113" s="44"/>
      <c r="CQ113" s="44"/>
      <c r="CR113" s="44"/>
      <c r="CS113" s="44"/>
      <c r="CT113" s="44"/>
      <c r="CU113" s="44"/>
      <c r="CV113" s="44"/>
      <c r="CW113" s="44"/>
      <c r="CX113" s="44"/>
      <c r="CY113" s="44"/>
      <c r="CZ113" s="44"/>
      <c r="DA113" s="44"/>
      <c r="DB113" s="44"/>
      <c r="DC113" s="44"/>
      <c r="DD113" s="44"/>
      <c r="DE113" s="44"/>
      <c r="DF113" s="44"/>
      <c r="DG113" s="44"/>
      <c r="DH113" s="44"/>
      <c r="DI113" s="44"/>
      <c r="DJ113" s="44"/>
      <c r="DK113" s="44"/>
      <c r="DL113" s="44"/>
      <c r="DM113" s="44"/>
      <c r="DN113" s="44"/>
      <c r="DO113" s="44"/>
      <c r="DP113" s="44"/>
      <c r="DQ113" s="44"/>
      <c r="DR113" s="44"/>
      <c r="DS113" s="44"/>
      <c r="DT113" s="44"/>
      <c r="DU113" s="44"/>
      <c r="DV113" s="44"/>
      <c r="DW113" s="44"/>
      <c r="DX113" s="44"/>
      <c r="DY113" s="44"/>
      <c r="DZ113" s="44"/>
      <c r="EA113" s="44"/>
      <c r="EB113" s="44"/>
      <c r="EC113" s="44"/>
      <c r="ED113" s="44"/>
      <c r="EE113" s="44"/>
      <c r="EF113" s="44"/>
      <c r="EG113" s="44"/>
      <c r="EH113" s="44"/>
      <c r="EI113" s="44"/>
      <c r="EJ113" s="44"/>
      <c r="EK113" s="44"/>
      <c r="EL113" s="44"/>
      <c r="EM113" s="44"/>
      <c r="EN113" s="44"/>
      <c r="EO113" s="44"/>
      <c r="EP113" s="44"/>
      <c r="EQ113" s="44"/>
      <c r="ER113" s="44"/>
      <c r="ES113" s="44"/>
      <c r="ET113" s="44"/>
      <c r="EU113" s="44"/>
      <c r="EV113" s="44"/>
      <c r="EW113" s="44"/>
      <c r="EX113" s="44"/>
      <c r="EY113" s="44"/>
      <c r="EZ113" s="44"/>
      <c r="FA113" s="44"/>
      <c r="FB113" s="44"/>
      <c r="FC113" s="44"/>
      <c r="FD113" s="44"/>
      <c r="FE113" s="44"/>
      <c r="FF113" s="44"/>
      <c r="FG113" s="44"/>
      <c r="FH113" s="44"/>
      <c r="FI113" s="44"/>
      <c r="FJ113" s="44"/>
      <c r="FK113" s="44"/>
      <c r="FL113" s="44"/>
      <c r="FM113" s="44"/>
      <c r="FN113" s="44"/>
      <c r="FO113" s="44"/>
      <c r="FP113" s="44"/>
      <c r="FQ113" s="44"/>
      <c r="FR113" s="44"/>
      <c r="FS113" s="44"/>
      <c r="FT113" s="44"/>
      <c r="FU113" s="44"/>
      <c r="FV113" s="44"/>
      <c r="FW113" s="44"/>
      <c r="FX113" s="44"/>
      <c r="FY113" s="44"/>
      <c r="FZ113" s="44"/>
      <c r="GA113" s="44"/>
      <c r="GB113" s="44"/>
      <c r="GC113" s="44"/>
    </row>
    <row r="114" spans="1:185" ht="15.75" thickBot="1" x14ac:dyDescent="0.3">
      <c r="A114" s="557" t="s">
        <v>105</v>
      </c>
      <c r="B114" s="549">
        <f>'1 уровень'!C309</f>
        <v>0</v>
      </c>
      <c r="C114" s="549">
        <f>'1 уровень'!D309</f>
        <v>0</v>
      </c>
      <c r="D114" s="549">
        <f>'1 уровень'!E309</f>
        <v>0</v>
      </c>
      <c r="E114" s="550">
        <f>'1 уровень'!F309</f>
        <v>0</v>
      </c>
      <c r="F114" s="551">
        <f>'1 уровень'!G309</f>
        <v>29633.176510000001</v>
      </c>
      <c r="G114" s="551">
        <f>'1 уровень'!H309</f>
        <v>19755.46</v>
      </c>
      <c r="H114" s="551">
        <f>'1 уровень'!I309</f>
        <v>13424.65841</v>
      </c>
      <c r="I114" s="551">
        <f>'1 уровень'!J309</f>
        <v>67.954167657953803</v>
      </c>
      <c r="J114" s="103"/>
      <c r="L114" s="727"/>
    </row>
    <row r="115" spans="1:185" ht="15" customHeight="1" x14ac:dyDescent="0.25">
      <c r="A115" s="221" t="s">
        <v>23</v>
      </c>
      <c r="B115" s="97"/>
      <c r="C115" s="97"/>
      <c r="D115" s="97"/>
      <c r="E115" s="183"/>
      <c r="F115" s="98"/>
      <c r="G115" s="98"/>
      <c r="H115" s="98"/>
      <c r="I115" s="98"/>
      <c r="J115" s="103"/>
      <c r="L115" s="727"/>
    </row>
    <row r="116" spans="1:185" ht="30" x14ac:dyDescent="0.25">
      <c r="A116" s="542" t="s">
        <v>120</v>
      </c>
      <c r="B116" s="539">
        <f>'2 уровень'!C224</f>
        <v>5336</v>
      </c>
      <c r="C116" s="539">
        <f>'2 уровень'!D224</f>
        <v>3557</v>
      </c>
      <c r="D116" s="539">
        <f>'2 уровень'!E224</f>
        <v>4114</v>
      </c>
      <c r="E116" s="540">
        <f>'2 уровень'!F224</f>
        <v>115.65926342423391</v>
      </c>
      <c r="F116" s="543">
        <f>'2 уровень'!G224</f>
        <v>10566.555110000001</v>
      </c>
      <c r="G116" s="543">
        <f>'2 уровень'!H224</f>
        <v>7044.38</v>
      </c>
      <c r="H116" s="543">
        <f>'2 уровень'!I224</f>
        <v>7992.6827700000003</v>
      </c>
      <c r="I116" s="543">
        <f>'2 уровень'!J224</f>
        <v>113.46183439848502</v>
      </c>
      <c r="J116" s="103"/>
      <c r="L116" s="727"/>
    </row>
    <row r="117" spans="1:185" ht="30" x14ac:dyDescent="0.25">
      <c r="A117" s="116" t="s">
        <v>79</v>
      </c>
      <c r="B117" s="49">
        <f>'2 уровень'!C225</f>
        <v>3917</v>
      </c>
      <c r="C117" s="49">
        <f>'2 уровень'!D225</f>
        <v>2611</v>
      </c>
      <c r="D117" s="49">
        <f>'2 уровень'!E225</f>
        <v>3237</v>
      </c>
      <c r="E117" s="180">
        <f>'2 уровень'!F225</f>
        <v>123.97548831865186</v>
      </c>
      <c r="F117" s="62">
        <f>'2 уровень'!G225</f>
        <v>6759.01</v>
      </c>
      <c r="G117" s="62">
        <f>'2 уровень'!H225</f>
        <v>4506.01</v>
      </c>
      <c r="H117" s="62">
        <f>'2 уровень'!I225</f>
        <v>5295.5203300000012</v>
      </c>
      <c r="I117" s="62">
        <f>'2 уровень'!J225</f>
        <v>117.52127336601563</v>
      </c>
      <c r="J117" s="103"/>
      <c r="L117" s="727"/>
    </row>
    <row r="118" spans="1:185" ht="30" x14ac:dyDescent="0.25">
      <c r="A118" s="116" t="s">
        <v>80</v>
      </c>
      <c r="B118" s="49">
        <f>'2 уровень'!C226</f>
        <v>1175</v>
      </c>
      <c r="C118" s="49">
        <f>'2 уровень'!D226</f>
        <v>783</v>
      </c>
      <c r="D118" s="49">
        <f>'2 уровень'!E226</f>
        <v>643</v>
      </c>
      <c r="E118" s="180">
        <f>'2 уровень'!F226</f>
        <v>82.120051085568321</v>
      </c>
      <c r="F118" s="62">
        <f>'2 уровень'!G226</f>
        <v>2206.39759</v>
      </c>
      <c r="G118" s="62">
        <f>'2 уровень'!H226</f>
        <v>1470.93</v>
      </c>
      <c r="H118" s="62">
        <f>'2 уровень'!I226</f>
        <v>1174.7598799999998</v>
      </c>
      <c r="I118" s="62">
        <f>'2 уровень'!J226</f>
        <v>79.865111188159858</v>
      </c>
      <c r="J118" s="103"/>
      <c r="L118" s="727"/>
    </row>
    <row r="119" spans="1:185" ht="45" x14ac:dyDescent="0.25">
      <c r="A119" s="116" t="s">
        <v>110</v>
      </c>
      <c r="B119" s="49">
        <f>'2 уровень'!C227</f>
        <v>52</v>
      </c>
      <c r="C119" s="49">
        <f>'2 уровень'!D227</f>
        <v>35</v>
      </c>
      <c r="D119" s="49">
        <f>'2 уровень'!E227</f>
        <v>56</v>
      </c>
      <c r="E119" s="180">
        <f>'2 уровень'!F227</f>
        <v>160</v>
      </c>
      <c r="F119" s="62">
        <f>'2 уровень'!G227</f>
        <v>341.22816</v>
      </c>
      <c r="G119" s="62">
        <f>'2 уровень'!H227</f>
        <v>227.49</v>
      </c>
      <c r="H119" s="62">
        <f>'2 уровень'!I227</f>
        <v>360.91439999999994</v>
      </c>
      <c r="I119" s="62">
        <f>'2 уровень'!J227</f>
        <v>158.65066596333901</v>
      </c>
      <c r="J119" s="103"/>
      <c r="L119" s="727"/>
    </row>
    <row r="120" spans="1:185" ht="30" x14ac:dyDescent="0.25">
      <c r="A120" s="116" t="s">
        <v>111</v>
      </c>
      <c r="B120" s="49">
        <f>'2 уровень'!C228</f>
        <v>192</v>
      </c>
      <c r="C120" s="49">
        <f>'2 уровень'!D228</f>
        <v>128</v>
      </c>
      <c r="D120" s="49">
        <f>'2 уровень'!E228</f>
        <v>178</v>
      </c>
      <c r="E120" s="180">
        <f>'2 уровень'!F228</f>
        <v>139.0625</v>
      </c>
      <c r="F120" s="62">
        <f>'2 уровень'!G228</f>
        <v>1259.9193599999999</v>
      </c>
      <c r="G120" s="62">
        <f>'2 уровень'!H228</f>
        <v>839.95</v>
      </c>
      <c r="H120" s="62">
        <f>'2 уровень'!I228</f>
        <v>1161.4881599999999</v>
      </c>
      <c r="I120" s="62">
        <f>'2 уровень'!J228</f>
        <v>138.28063098993985</v>
      </c>
      <c r="J120" s="103"/>
      <c r="L120" s="727"/>
    </row>
    <row r="121" spans="1:185" ht="30" x14ac:dyDescent="0.25">
      <c r="A121" s="542" t="s">
        <v>112</v>
      </c>
      <c r="B121" s="539">
        <f>'2 уровень'!C229</f>
        <v>8769</v>
      </c>
      <c r="C121" s="539">
        <f>'2 уровень'!D229</f>
        <v>5846</v>
      </c>
      <c r="D121" s="539">
        <f>'2 уровень'!E229</f>
        <v>5065</v>
      </c>
      <c r="E121" s="540">
        <f>'2 уровень'!F229</f>
        <v>86.640437906260686</v>
      </c>
      <c r="F121" s="543">
        <f>'2 уровень'!G229</f>
        <v>22940.131579999997</v>
      </c>
      <c r="G121" s="543">
        <f>'2 уровень'!H229</f>
        <v>15293.419999999998</v>
      </c>
      <c r="H121" s="543">
        <f>'2 уровень'!I229</f>
        <v>12380.176169999999</v>
      </c>
      <c r="I121" s="543">
        <f>'2 уровень'!J229</f>
        <v>80.950998337847253</v>
      </c>
      <c r="J121" s="103"/>
      <c r="L121" s="727"/>
    </row>
    <row r="122" spans="1:185" ht="30" x14ac:dyDescent="0.25">
      <c r="A122" s="116" t="s">
        <v>108</v>
      </c>
      <c r="B122" s="49">
        <f>'2 уровень'!C230</f>
        <v>2900</v>
      </c>
      <c r="C122" s="49">
        <f>'2 уровень'!D230</f>
        <v>1933</v>
      </c>
      <c r="D122" s="49">
        <f>'2 уровень'!E230</f>
        <v>1587</v>
      </c>
      <c r="E122" s="180">
        <f>'2 уровень'!F230</f>
        <v>82.100362131401965</v>
      </c>
      <c r="F122" s="62">
        <f>'2 уровень'!G230</f>
        <v>6149.4790000000003</v>
      </c>
      <c r="G122" s="62">
        <f>'2 уровень'!H230</f>
        <v>4099.6499999999996</v>
      </c>
      <c r="H122" s="62">
        <f>'2 уровень'!I230</f>
        <v>3362.1850299999996</v>
      </c>
      <c r="I122" s="62">
        <f>'2 уровень'!J230</f>
        <v>82.011513909724002</v>
      </c>
      <c r="J122" s="103"/>
      <c r="L122" s="727"/>
    </row>
    <row r="123" spans="1:185" ht="60" x14ac:dyDescent="0.25">
      <c r="A123" s="116" t="s">
        <v>81</v>
      </c>
      <c r="B123" s="49">
        <f>'2 уровень'!C231</f>
        <v>5154</v>
      </c>
      <c r="C123" s="49">
        <f>'2 уровень'!D231</f>
        <v>3436</v>
      </c>
      <c r="D123" s="49">
        <f>'2 уровень'!E231</f>
        <v>3092</v>
      </c>
      <c r="E123" s="180">
        <f>'2 уровень'!F231</f>
        <v>89.988358556460994</v>
      </c>
      <c r="F123" s="62">
        <f>'2 уровень'!G231</f>
        <v>16089.838179999999</v>
      </c>
      <c r="G123" s="62">
        <f>'2 уровень'!H231</f>
        <v>10726.56</v>
      </c>
      <c r="H123" s="62">
        <f>'2 уровень'!I231</f>
        <v>8668.4028899999994</v>
      </c>
      <c r="I123" s="62">
        <f>'2 уровень'!J231</f>
        <v>80.812514823018745</v>
      </c>
      <c r="J123" s="103"/>
      <c r="L123" s="727"/>
    </row>
    <row r="124" spans="1:185" ht="45" x14ac:dyDescent="0.25">
      <c r="A124" s="116" t="s">
        <v>109</v>
      </c>
      <c r="B124" s="49">
        <f>'2 уровень'!C232</f>
        <v>715</v>
      </c>
      <c r="C124" s="49">
        <f>'2 уровень'!D232</f>
        <v>477</v>
      </c>
      <c r="D124" s="49">
        <f>'2 уровень'!E232</f>
        <v>386</v>
      </c>
      <c r="E124" s="180">
        <f>'2 уровень'!F232</f>
        <v>80.922431865828088</v>
      </c>
      <c r="F124" s="62">
        <f>'2 уровень'!G232</f>
        <v>700.81439999999998</v>
      </c>
      <c r="G124" s="62">
        <f>'2 уровень'!H232</f>
        <v>467.21</v>
      </c>
      <c r="H124" s="62">
        <f>'2 уровень'!I232</f>
        <v>349.58825000000002</v>
      </c>
      <c r="I124" s="62">
        <f>'2 уровень'!J232</f>
        <v>74.824650585389875</v>
      </c>
      <c r="J124" s="103"/>
      <c r="L124" s="727"/>
    </row>
    <row r="125" spans="1:185" ht="30" x14ac:dyDescent="0.25">
      <c r="A125" s="116" t="s">
        <v>123</v>
      </c>
      <c r="B125" s="49">
        <f>'2 уровень'!C233</f>
        <v>12000</v>
      </c>
      <c r="C125" s="49">
        <f>'2 уровень'!D233</f>
        <v>8000</v>
      </c>
      <c r="D125" s="49">
        <f>'2 уровень'!E233</f>
        <v>8883</v>
      </c>
      <c r="E125" s="180">
        <f>'2 уровень'!F233</f>
        <v>111.03749999999999</v>
      </c>
      <c r="F125" s="62">
        <f>'2 уровень'!G233</f>
        <v>11678.64</v>
      </c>
      <c r="G125" s="62">
        <f>'2 уровень'!H233</f>
        <v>7785.76</v>
      </c>
      <c r="H125" s="62">
        <f>'2 уровень'!I233</f>
        <v>8608.1912100000009</v>
      </c>
      <c r="I125" s="62">
        <f>'2 уровень'!J233</f>
        <v>110.56327461930499</v>
      </c>
      <c r="J125" s="103"/>
      <c r="K125" s="103"/>
      <c r="L125" s="103"/>
    </row>
    <row r="126" spans="1:185" ht="15.75" thickBot="1" x14ac:dyDescent="0.3">
      <c r="A126" s="112" t="s">
        <v>107</v>
      </c>
      <c r="B126" s="49">
        <f>'2 уровень'!C234</f>
        <v>0</v>
      </c>
      <c r="C126" s="49">
        <f>'2 уровень'!D234</f>
        <v>0</v>
      </c>
      <c r="D126" s="49">
        <f>'2 уровень'!E234</f>
        <v>0</v>
      </c>
      <c r="E126" s="180">
        <f>'2 уровень'!F234</f>
        <v>0</v>
      </c>
      <c r="F126" s="62">
        <f>'2 уровень'!G234</f>
        <v>45185.326690000002</v>
      </c>
      <c r="G126" s="62">
        <f>'2 уровень'!H234</f>
        <v>30123.559999999998</v>
      </c>
      <c r="H126" s="62">
        <f>'2 уровень'!I234</f>
        <v>28981.050149999999</v>
      </c>
      <c r="I126" s="62">
        <f>'2 уровень'!J234</f>
        <v>96.207254886208673</v>
      </c>
      <c r="J126" s="103"/>
      <c r="L126" s="727"/>
    </row>
    <row r="127" spans="1:185" ht="15" customHeight="1" x14ac:dyDescent="0.25">
      <c r="A127" s="96" t="s">
        <v>24</v>
      </c>
      <c r="B127" s="97"/>
      <c r="C127" s="97"/>
      <c r="D127" s="97"/>
      <c r="E127" s="183"/>
      <c r="F127" s="98"/>
      <c r="G127" s="98"/>
      <c r="H127" s="98"/>
      <c r="I127" s="98"/>
      <c r="J127" s="103"/>
      <c r="L127" s="727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  <c r="AL127" s="45"/>
      <c r="AM127" s="45"/>
      <c r="AN127" s="45"/>
      <c r="AO127" s="45"/>
      <c r="AP127" s="45"/>
      <c r="AQ127" s="45"/>
      <c r="AR127" s="45"/>
      <c r="AS127" s="45"/>
      <c r="AT127" s="45"/>
      <c r="AU127" s="45"/>
      <c r="AV127" s="45"/>
      <c r="AW127" s="45"/>
      <c r="AX127" s="45"/>
      <c r="AY127" s="45"/>
      <c r="AZ127" s="45"/>
      <c r="BA127" s="45"/>
      <c r="BB127" s="45"/>
      <c r="BC127" s="45"/>
      <c r="BD127" s="45"/>
      <c r="BE127" s="45"/>
      <c r="BF127" s="45"/>
      <c r="BG127" s="45"/>
      <c r="BH127" s="45"/>
      <c r="BI127" s="45"/>
      <c r="BJ127" s="45"/>
      <c r="BK127" s="45"/>
      <c r="BL127" s="45"/>
      <c r="BM127" s="45"/>
      <c r="BN127" s="45"/>
      <c r="BO127" s="45"/>
      <c r="BP127" s="45"/>
      <c r="BQ127" s="45"/>
      <c r="BR127" s="45"/>
      <c r="BS127" s="45"/>
      <c r="BT127" s="45"/>
      <c r="BU127" s="45"/>
      <c r="BV127" s="45"/>
      <c r="BW127" s="45"/>
      <c r="BX127" s="45"/>
      <c r="BY127" s="45"/>
      <c r="BZ127" s="45"/>
      <c r="CA127" s="45"/>
      <c r="CB127" s="45"/>
      <c r="CC127" s="45"/>
      <c r="CD127" s="45"/>
      <c r="CE127" s="45"/>
      <c r="CF127" s="45"/>
      <c r="CG127" s="45"/>
      <c r="CH127" s="45"/>
      <c r="CI127" s="45"/>
      <c r="CJ127" s="45"/>
      <c r="CK127" s="45"/>
      <c r="CL127" s="45"/>
      <c r="CM127" s="45"/>
      <c r="CN127" s="45"/>
      <c r="CO127" s="45"/>
      <c r="CP127" s="45"/>
      <c r="CQ127" s="45"/>
      <c r="CR127" s="45"/>
      <c r="CS127" s="45"/>
      <c r="CT127" s="45"/>
      <c r="CU127" s="45"/>
      <c r="CV127" s="45"/>
      <c r="CW127" s="45"/>
      <c r="CX127" s="45"/>
      <c r="CY127" s="45"/>
      <c r="CZ127" s="45"/>
      <c r="DA127" s="45"/>
      <c r="DB127" s="45"/>
      <c r="DC127" s="45"/>
      <c r="DD127" s="45"/>
      <c r="DE127" s="45"/>
      <c r="DF127" s="45"/>
      <c r="DG127" s="45"/>
      <c r="DH127" s="45"/>
      <c r="DI127" s="45"/>
      <c r="DJ127" s="45"/>
      <c r="DK127" s="45"/>
      <c r="DL127" s="45"/>
      <c r="DM127" s="45"/>
      <c r="DN127" s="45"/>
      <c r="DO127" s="45"/>
      <c r="DP127" s="45"/>
      <c r="DQ127" s="45"/>
      <c r="DR127" s="45"/>
      <c r="DS127" s="45"/>
      <c r="DT127" s="45"/>
      <c r="DU127" s="45"/>
      <c r="DV127" s="45"/>
      <c r="DW127" s="45"/>
      <c r="DX127" s="45"/>
      <c r="DY127" s="45"/>
      <c r="DZ127" s="45"/>
      <c r="EA127" s="45"/>
      <c r="EB127" s="45"/>
      <c r="EC127" s="45"/>
      <c r="ED127" s="45"/>
      <c r="EE127" s="45"/>
      <c r="EF127" s="45"/>
      <c r="EG127" s="45"/>
      <c r="EH127" s="45"/>
      <c r="EI127" s="45"/>
      <c r="EJ127" s="45"/>
      <c r="EK127" s="45"/>
      <c r="EL127" s="45"/>
      <c r="EM127" s="45"/>
      <c r="EN127" s="45"/>
      <c r="EO127" s="45"/>
      <c r="EP127" s="45"/>
      <c r="EQ127" s="45"/>
      <c r="ER127" s="45"/>
      <c r="ES127" s="45"/>
      <c r="ET127" s="45"/>
      <c r="EU127" s="45"/>
      <c r="EV127" s="45"/>
      <c r="EW127" s="45"/>
      <c r="EX127" s="45"/>
      <c r="EY127" s="45"/>
      <c r="EZ127" s="45"/>
      <c r="FA127" s="45"/>
      <c r="FB127" s="45"/>
      <c r="FC127" s="45"/>
      <c r="FD127" s="45"/>
      <c r="FE127" s="45"/>
      <c r="FF127" s="45"/>
      <c r="FG127" s="45"/>
      <c r="FH127" s="45"/>
      <c r="FI127" s="45"/>
      <c r="FJ127" s="45"/>
      <c r="FK127" s="45"/>
      <c r="FL127" s="45"/>
      <c r="FM127" s="45"/>
      <c r="FN127" s="45"/>
      <c r="FO127" s="45"/>
      <c r="FP127" s="45"/>
      <c r="FQ127" s="45"/>
      <c r="FR127" s="45"/>
      <c r="FS127" s="45"/>
      <c r="FT127" s="45"/>
      <c r="FU127" s="45"/>
      <c r="FV127" s="45"/>
      <c r="FW127" s="45"/>
      <c r="FX127" s="45"/>
      <c r="FY127" s="45"/>
      <c r="FZ127" s="45"/>
      <c r="GA127" s="45"/>
      <c r="GB127" s="45"/>
      <c r="GC127" s="45"/>
    </row>
    <row r="128" spans="1:185" ht="30" x14ac:dyDescent="0.25">
      <c r="A128" s="542" t="s">
        <v>120</v>
      </c>
      <c r="B128" s="539">
        <f>'1 уровень'!C326</f>
        <v>8179</v>
      </c>
      <c r="C128" s="539">
        <f>'1 уровень'!D326</f>
        <v>5453</v>
      </c>
      <c r="D128" s="539">
        <f>'1 уровень'!E326</f>
        <v>5393</v>
      </c>
      <c r="E128" s="540">
        <f>'1 уровень'!F326</f>
        <v>98.89968824500275</v>
      </c>
      <c r="F128" s="543">
        <f>'1 уровень'!G326</f>
        <v>13287.568139999999</v>
      </c>
      <c r="G128" s="543">
        <f>'1 уровень'!H326</f>
        <v>8858.3799999999992</v>
      </c>
      <c r="H128" s="543">
        <f>'1 уровень'!I326</f>
        <v>7753.635940000001</v>
      </c>
      <c r="I128" s="543">
        <f>'1 уровень'!J326</f>
        <v>87.528825135069866</v>
      </c>
      <c r="J128" s="103"/>
      <c r="L128" s="727"/>
    </row>
    <row r="129" spans="1:185" ht="30" x14ac:dyDescent="0.25">
      <c r="A129" s="116" t="s">
        <v>79</v>
      </c>
      <c r="B129" s="49">
        <f>'1 уровень'!C327</f>
        <v>6003</v>
      </c>
      <c r="C129" s="49">
        <f>'1 уровень'!D327</f>
        <v>4002</v>
      </c>
      <c r="D129" s="49">
        <f>'1 уровень'!E327</f>
        <v>4238</v>
      </c>
      <c r="E129" s="180">
        <f>'1 уровень'!F327</f>
        <v>105.89705147426287</v>
      </c>
      <c r="F129" s="62">
        <f>'1 уровень'!G327</f>
        <v>8459.4328000000005</v>
      </c>
      <c r="G129" s="62">
        <f>'1 уровень'!H327</f>
        <v>5639.62</v>
      </c>
      <c r="H129" s="62">
        <f>'1 уровень'!I327</f>
        <v>4511.0233500000004</v>
      </c>
      <c r="I129" s="62">
        <f>'1 уровень'!J327</f>
        <v>79.988072777953136</v>
      </c>
      <c r="J129" s="103"/>
      <c r="L129" s="727"/>
    </row>
    <row r="130" spans="1:185" ht="30" x14ac:dyDescent="0.25">
      <c r="A130" s="116" t="s">
        <v>80</v>
      </c>
      <c r="B130" s="49">
        <f>'1 уровень'!C328</f>
        <v>1801</v>
      </c>
      <c r="C130" s="49">
        <f>'1 уровень'!D328</f>
        <v>1201</v>
      </c>
      <c r="D130" s="49">
        <f>'1 уровень'!E328</f>
        <v>778</v>
      </c>
      <c r="E130" s="180">
        <f>'1 уровень'!F328</f>
        <v>64.779350541215649</v>
      </c>
      <c r="F130" s="62">
        <f>'1 уровень'!G328</f>
        <v>2777.4853399999997</v>
      </c>
      <c r="G130" s="62">
        <f>'1 уровень'!H328</f>
        <v>1851.66</v>
      </c>
      <c r="H130" s="62">
        <f>'1 уровень'!I328</f>
        <v>1186.4941899999999</v>
      </c>
      <c r="I130" s="62">
        <f>'1 уровень'!J328</f>
        <v>64.077324670835893</v>
      </c>
      <c r="J130" s="103"/>
      <c r="L130" s="727"/>
    </row>
    <row r="131" spans="1:185" ht="45" x14ac:dyDescent="0.25">
      <c r="A131" s="116" t="s">
        <v>110</v>
      </c>
      <c r="B131" s="49">
        <f>'1 уровень'!C329</f>
        <v>94</v>
      </c>
      <c r="C131" s="49">
        <f>'1 уровень'!D329</f>
        <v>63</v>
      </c>
      <c r="D131" s="49">
        <f>'1 уровень'!E329</f>
        <v>94</v>
      </c>
      <c r="E131" s="180">
        <f>'1 уровень'!F329</f>
        <v>149.20634920634922</v>
      </c>
      <c r="F131" s="62">
        <f>'1 уровень'!G329</f>
        <v>514.02959999999996</v>
      </c>
      <c r="G131" s="62">
        <f>'1 уровень'!H329</f>
        <v>342.69</v>
      </c>
      <c r="H131" s="62">
        <f>'1 уровень'!I329</f>
        <v>508.56119999999993</v>
      </c>
      <c r="I131" s="62">
        <f>'1 уровень'!J329</f>
        <v>148.40269631445329</v>
      </c>
      <c r="J131" s="103"/>
      <c r="L131" s="727"/>
    </row>
    <row r="132" spans="1:185" ht="30" x14ac:dyDescent="0.25">
      <c r="A132" s="116" t="s">
        <v>111</v>
      </c>
      <c r="B132" s="49">
        <f>'1 уровень'!C330</f>
        <v>281</v>
      </c>
      <c r="C132" s="49">
        <f>'1 уровень'!D330</f>
        <v>187</v>
      </c>
      <c r="D132" s="49">
        <f>'1 уровень'!E330</f>
        <v>283</v>
      </c>
      <c r="E132" s="180">
        <f>'1 уровень'!F330</f>
        <v>151.33689839572193</v>
      </c>
      <c r="F132" s="62">
        <f>'1 уровень'!G330</f>
        <v>1536.6204</v>
      </c>
      <c r="G132" s="62">
        <f>'1 уровень'!H330</f>
        <v>1024.4100000000001</v>
      </c>
      <c r="H132" s="62">
        <f>'1 уровень'!I330</f>
        <v>1547.5572</v>
      </c>
      <c r="I132" s="62">
        <f>'1 уровень'!J330</f>
        <v>151.06814654288809</v>
      </c>
      <c r="J132" s="103"/>
      <c r="L132" s="727"/>
    </row>
    <row r="133" spans="1:185" ht="30" x14ac:dyDescent="0.25">
      <c r="A133" s="542" t="s">
        <v>112</v>
      </c>
      <c r="B133" s="539">
        <f>'1 уровень'!C331</f>
        <v>14763</v>
      </c>
      <c r="C133" s="539">
        <f>'1 уровень'!D331</f>
        <v>9842</v>
      </c>
      <c r="D133" s="539">
        <f>'1 уровень'!E331</f>
        <v>9703</v>
      </c>
      <c r="E133" s="540">
        <f>'1 уровень'!F331</f>
        <v>98.587685429790696</v>
      </c>
      <c r="F133" s="543">
        <f>'1 уровень'!G331</f>
        <v>29050.4709</v>
      </c>
      <c r="G133" s="543">
        <f>'1 уровень'!H331</f>
        <v>19366.98</v>
      </c>
      <c r="H133" s="543">
        <f>'1 уровень'!I331</f>
        <v>17562.308520000002</v>
      </c>
      <c r="I133" s="543">
        <f>'1 уровень'!J331</f>
        <v>90.681709383703605</v>
      </c>
      <c r="J133" s="103"/>
      <c r="L133" s="727"/>
    </row>
    <row r="134" spans="1:185" ht="30" x14ac:dyDescent="0.25">
      <c r="A134" s="116" t="s">
        <v>108</v>
      </c>
      <c r="B134" s="49">
        <f>'1 уровень'!C332</f>
        <v>3000</v>
      </c>
      <c r="C134" s="49">
        <f>'1 уровень'!D332</f>
        <v>2000</v>
      </c>
      <c r="D134" s="49">
        <f>'1 уровень'!E332</f>
        <v>1403</v>
      </c>
      <c r="E134" s="180">
        <f>'1 уровень'!F332</f>
        <v>70.150000000000006</v>
      </c>
      <c r="F134" s="62">
        <f>'1 уровень'!G332</f>
        <v>5301.3</v>
      </c>
      <c r="G134" s="62">
        <f>'1 уровень'!H332</f>
        <v>3534.2</v>
      </c>
      <c r="H134" s="62">
        <f>'1 уровень'!I332</f>
        <v>2464.6467100000004</v>
      </c>
      <c r="I134" s="62">
        <f>'1 уровень'!J332</f>
        <v>69.737046856431462</v>
      </c>
      <c r="J134" s="103"/>
      <c r="L134" s="727"/>
    </row>
    <row r="135" spans="1:185" ht="60" x14ac:dyDescent="0.25">
      <c r="A135" s="116" t="s">
        <v>81</v>
      </c>
      <c r="B135" s="49">
        <f>'1 уровень'!C333</f>
        <v>9571</v>
      </c>
      <c r="C135" s="49">
        <f>'1 уровень'!D333</f>
        <v>6381</v>
      </c>
      <c r="D135" s="49">
        <f>'1 уровень'!E333</f>
        <v>5523</v>
      </c>
      <c r="E135" s="180">
        <f>'1 уровень'!F333</f>
        <v>86.553831687823219</v>
      </c>
      <c r="F135" s="62">
        <f>'1 уровень'!G333</f>
        <v>21958.745300000002</v>
      </c>
      <c r="G135" s="62">
        <f>'1 уровень'!H333</f>
        <v>14639.16</v>
      </c>
      <c r="H135" s="62">
        <f>'1 уровень'!I333</f>
        <v>12610.224870000002</v>
      </c>
      <c r="I135" s="62">
        <f>'1 уровень'!J333</f>
        <v>86.140358258260733</v>
      </c>
      <c r="J135" s="103"/>
      <c r="L135" s="727"/>
    </row>
    <row r="136" spans="1:185" ht="45" x14ac:dyDescent="0.25">
      <c r="A136" s="116" t="s">
        <v>109</v>
      </c>
      <c r="B136" s="49">
        <f>'1 уровень'!C334</f>
        <v>2192</v>
      </c>
      <c r="C136" s="49">
        <f>'1 уровень'!D334</f>
        <v>1461</v>
      </c>
      <c r="D136" s="49">
        <f>'1 уровень'!E334</f>
        <v>2777</v>
      </c>
      <c r="E136" s="180">
        <f>'1 уровень'!F334</f>
        <v>190.07529089664615</v>
      </c>
      <c r="F136" s="62">
        <f>'1 уровень'!G334</f>
        <v>1790.4256</v>
      </c>
      <c r="G136" s="62">
        <f>'1 уровень'!H334</f>
        <v>1193.6199999999999</v>
      </c>
      <c r="H136" s="62">
        <f>'1 уровень'!I334</f>
        <v>2487.4369400000005</v>
      </c>
      <c r="I136" s="62">
        <f>'1 уровень'!J334</f>
        <v>208.39437509425119</v>
      </c>
      <c r="J136" s="103"/>
      <c r="L136" s="727"/>
    </row>
    <row r="137" spans="1:185" ht="30" x14ac:dyDescent="0.25">
      <c r="A137" s="667" t="s">
        <v>123</v>
      </c>
      <c r="B137" s="49">
        <f>'1 уровень'!C335</f>
        <v>34312</v>
      </c>
      <c r="C137" s="49">
        <f>'1 уровень'!D335</f>
        <v>22875</v>
      </c>
      <c r="D137" s="49">
        <f>'1 уровень'!E335</f>
        <v>22065</v>
      </c>
      <c r="E137" s="180">
        <f>'1 уровень'!F335</f>
        <v>96.459016393442624</v>
      </c>
      <c r="F137" s="62">
        <f>'1 уровень'!G335</f>
        <v>27827.718000000001</v>
      </c>
      <c r="G137" s="62">
        <f>'1 уровень'!H335</f>
        <v>18551.810000000001</v>
      </c>
      <c r="H137" s="62">
        <f>'1 уровень'!I335</f>
        <v>17779.554669999998</v>
      </c>
      <c r="I137" s="62">
        <f>'1 уровень'!J335</f>
        <v>95.837304661917074</v>
      </c>
      <c r="J137" s="103"/>
      <c r="L137" s="727"/>
    </row>
    <row r="138" spans="1:185" ht="30" x14ac:dyDescent="0.25">
      <c r="A138" s="116" t="s">
        <v>124</v>
      </c>
      <c r="B138" s="49">
        <f>'1 уровень'!C336</f>
        <v>670</v>
      </c>
      <c r="C138" s="49">
        <f>'1 уровень'!D336</f>
        <v>447</v>
      </c>
      <c r="D138" s="49">
        <f>'1 уровень'!E336</f>
        <v>597</v>
      </c>
      <c r="E138" s="180">
        <f>'1 уровень'!F336</f>
        <v>133.55704697986576</v>
      </c>
      <c r="F138" s="62">
        <f>'1 уровень'!G336</f>
        <v>543.38339999999994</v>
      </c>
      <c r="G138" s="62">
        <f>'1 уровень'!H336</f>
        <v>362.26</v>
      </c>
      <c r="H138" s="62">
        <f>'1 уровень'!I336</f>
        <v>478.10112000000004</v>
      </c>
      <c r="I138" s="62">
        <f>'1 уровень'!J336</f>
        <v>131.97734224037984</v>
      </c>
      <c r="J138" s="103"/>
      <c r="K138" s="103"/>
      <c r="L138" s="103"/>
    </row>
    <row r="139" spans="1:185" ht="30" x14ac:dyDescent="0.25">
      <c r="A139" s="116" t="s">
        <v>125</v>
      </c>
      <c r="B139" s="49">
        <f>'1 уровень'!C337</f>
        <v>400</v>
      </c>
      <c r="C139" s="49">
        <f>'1 уровень'!D337</f>
        <v>267</v>
      </c>
      <c r="D139" s="49">
        <f>'1 уровень'!E337</f>
        <v>558</v>
      </c>
      <c r="E139" s="180">
        <f>'1 уровень'!F337</f>
        <v>208.98876404494385</v>
      </c>
      <c r="F139" s="62">
        <f>'1 уровень'!G337</f>
        <v>324.40799999999996</v>
      </c>
      <c r="G139" s="62">
        <f>'1 уровень'!H337</f>
        <v>216.27</v>
      </c>
      <c r="H139" s="62">
        <f>'1 уровень'!I337</f>
        <v>444.79540999999995</v>
      </c>
      <c r="I139" s="62">
        <f>'1 уровень'!J337</f>
        <v>205.66671752901465</v>
      </c>
      <c r="J139" s="103"/>
      <c r="K139" s="103"/>
      <c r="L139" s="103"/>
    </row>
    <row r="140" spans="1:185" ht="15.75" thickBot="1" x14ac:dyDescent="0.3">
      <c r="A140" s="108" t="s">
        <v>105</v>
      </c>
      <c r="B140" s="49">
        <f>'1 уровень'!C338</f>
        <v>0</v>
      </c>
      <c r="C140" s="49">
        <f>'1 уровень'!D338</f>
        <v>0</v>
      </c>
      <c r="D140" s="49">
        <f>'1 уровень'!E338</f>
        <v>0</v>
      </c>
      <c r="E140" s="180">
        <f>'1 уровень'!F338</f>
        <v>0</v>
      </c>
      <c r="F140" s="62">
        <f>'1 уровень'!G338</f>
        <v>70165.757039999997</v>
      </c>
      <c r="G140" s="62">
        <f>'1 уровень'!H338</f>
        <v>46777.17</v>
      </c>
      <c r="H140" s="62">
        <f>'1 уровень'!I338</f>
        <v>43095.499129999997</v>
      </c>
      <c r="I140" s="62">
        <f>'1 уровень'!J338</f>
        <v>92.129342433499076</v>
      </c>
      <c r="J140" s="103"/>
      <c r="L140" s="727"/>
    </row>
    <row r="141" spans="1:185" ht="15" customHeight="1" x14ac:dyDescent="0.25">
      <c r="A141" s="96" t="s">
        <v>25</v>
      </c>
      <c r="B141" s="97"/>
      <c r="C141" s="97"/>
      <c r="D141" s="97"/>
      <c r="E141" s="183"/>
      <c r="F141" s="98"/>
      <c r="G141" s="98"/>
      <c r="H141" s="98"/>
      <c r="I141" s="98"/>
      <c r="J141" s="103"/>
      <c r="L141" s="727"/>
    </row>
    <row r="142" spans="1:185" ht="30" x14ac:dyDescent="0.25">
      <c r="A142" s="542" t="s">
        <v>120</v>
      </c>
      <c r="B142" s="539">
        <f>'1 уровень'!C352</f>
        <v>3368</v>
      </c>
      <c r="C142" s="539">
        <f>'1 уровень'!D352</f>
        <v>2245</v>
      </c>
      <c r="D142" s="539">
        <f>'1 уровень'!E352</f>
        <v>1887</v>
      </c>
      <c r="E142" s="540">
        <f>'1 уровень'!F352</f>
        <v>84.053452115812917</v>
      </c>
      <c r="F142" s="543">
        <f>'1 уровень'!G352</f>
        <v>5553.6662100000003</v>
      </c>
      <c r="G142" s="543">
        <f>'1 уровень'!H352</f>
        <v>3702.45</v>
      </c>
      <c r="H142" s="543">
        <f>'1 уровень'!I352</f>
        <v>3086.3418600000005</v>
      </c>
      <c r="I142" s="543">
        <f>'1 уровень'!J352</f>
        <v>83.359447392942528</v>
      </c>
      <c r="J142" s="103"/>
      <c r="L142" s="727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  <c r="AK142" s="45"/>
      <c r="AL142" s="45"/>
      <c r="AM142" s="45"/>
      <c r="AN142" s="45"/>
      <c r="AO142" s="45"/>
      <c r="AP142" s="45"/>
      <c r="AQ142" s="45"/>
      <c r="AR142" s="45"/>
      <c r="AS142" s="45"/>
      <c r="AT142" s="45"/>
      <c r="AU142" s="45"/>
      <c r="AV142" s="45"/>
      <c r="AW142" s="45"/>
      <c r="AX142" s="45"/>
      <c r="AY142" s="45"/>
      <c r="AZ142" s="45"/>
      <c r="BA142" s="45"/>
      <c r="BB142" s="45"/>
      <c r="BC142" s="45"/>
      <c r="BD142" s="45"/>
      <c r="BE142" s="45"/>
      <c r="BF142" s="45"/>
      <c r="BG142" s="45"/>
      <c r="BH142" s="45"/>
      <c r="BI142" s="45"/>
      <c r="BJ142" s="45"/>
      <c r="BK142" s="45"/>
      <c r="BL142" s="45"/>
      <c r="BM142" s="45"/>
      <c r="BN142" s="45"/>
      <c r="BO142" s="45"/>
      <c r="BP142" s="45"/>
      <c r="BQ142" s="45"/>
      <c r="BR142" s="45"/>
      <c r="BS142" s="45"/>
      <c r="BT142" s="45"/>
      <c r="BU142" s="45"/>
      <c r="BV142" s="45"/>
      <c r="BW142" s="45"/>
      <c r="BX142" s="45"/>
      <c r="BY142" s="45"/>
      <c r="BZ142" s="45"/>
      <c r="CA142" s="45"/>
      <c r="CB142" s="45"/>
      <c r="CC142" s="45"/>
      <c r="CD142" s="45"/>
      <c r="CE142" s="45"/>
      <c r="CF142" s="45"/>
      <c r="CG142" s="45"/>
      <c r="CH142" s="45"/>
      <c r="CI142" s="45"/>
      <c r="CJ142" s="45"/>
      <c r="CK142" s="45"/>
      <c r="CL142" s="45"/>
      <c r="CM142" s="45"/>
      <c r="CN142" s="45"/>
      <c r="CO142" s="45"/>
      <c r="CP142" s="45"/>
      <c r="CQ142" s="45"/>
      <c r="CR142" s="45"/>
      <c r="CS142" s="45"/>
      <c r="CT142" s="45"/>
      <c r="CU142" s="45"/>
      <c r="CV142" s="45"/>
      <c r="CW142" s="45"/>
      <c r="CX142" s="45"/>
      <c r="CY142" s="45"/>
      <c r="CZ142" s="45"/>
      <c r="DA142" s="45"/>
      <c r="DB142" s="45"/>
      <c r="DC142" s="45"/>
      <c r="DD142" s="45"/>
      <c r="DE142" s="45"/>
      <c r="DF142" s="45"/>
      <c r="DG142" s="45"/>
      <c r="DH142" s="45"/>
      <c r="DI142" s="45"/>
      <c r="DJ142" s="45"/>
      <c r="DK142" s="45"/>
      <c r="DL142" s="45"/>
      <c r="DM142" s="45"/>
      <c r="DN142" s="45"/>
      <c r="DO142" s="45"/>
      <c r="DP142" s="45"/>
      <c r="DQ142" s="45"/>
      <c r="DR142" s="45"/>
      <c r="DS142" s="45"/>
      <c r="DT142" s="45"/>
      <c r="DU142" s="45"/>
      <c r="DV142" s="45"/>
      <c r="DW142" s="45"/>
      <c r="DX142" s="45"/>
      <c r="DY142" s="45"/>
      <c r="DZ142" s="45"/>
      <c r="EA142" s="45"/>
      <c r="EB142" s="45"/>
      <c r="EC142" s="45"/>
      <c r="ED142" s="45"/>
      <c r="EE142" s="45"/>
      <c r="EF142" s="45"/>
      <c r="EG142" s="45"/>
      <c r="EH142" s="45"/>
      <c r="EI142" s="45"/>
      <c r="EJ142" s="45"/>
      <c r="EK142" s="45"/>
      <c r="EL142" s="45"/>
      <c r="EM142" s="45"/>
      <c r="EN142" s="45"/>
      <c r="EO142" s="45"/>
      <c r="EP142" s="45"/>
      <c r="EQ142" s="45"/>
      <c r="ER142" s="45"/>
      <c r="ES142" s="45"/>
      <c r="ET142" s="45"/>
      <c r="EU142" s="45"/>
      <c r="EV142" s="45"/>
      <c r="EW142" s="45"/>
      <c r="EX142" s="45"/>
      <c r="EY142" s="45"/>
      <c r="EZ142" s="45"/>
      <c r="FA142" s="45"/>
      <c r="FB142" s="45"/>
      <c r="FC142" s="45"/>
      <c r="FD142" s="45"/>
      <c r="FE142" s="45"/>
      <c r="FF142" s="45"/>
      <c r="FG142" s="45"/>
      <c r="FH142" s="45"/>
      <c r="FI142" s="45"/>
      <c r="FJ142" s="45"/>
      <c r="FK142" s="45"/>
      <c r="FL142" s="45"/>
      <c r="FM142" s="45"/>
      <c r="FN142" s="45"/>
      <c r="FO142" s="45"/>
      <c r="FP142" s="45"/>
      <c r="FQ142" s="45"/>
      <c r="FR142" s="45"/>
      <c r="FS142" s="45"/>
      <c r="FT142" s="45"/>
      <c r="FU142" s="45"/>
      <c r="FV142" s="45"/>
      <c r="FW142" s="45"/>
      <c r="FX142" s="45"/>
      <c r="FY142" s="45"/>
      <c r="FZ142" s="45"/>
      <c r="GA142" s="45"/>
      <c r="GB142" s="45"/>
      <c r="GC142" s="45"/>
    </row>
    <row r="143" spans="1:185" ht="30" x14ac:dyDescent="0.25">
      <c r="A143" s="116" t="s">
        <v>79</v>
      </c>
      <c r="B143" s="49">
        <f>'1 уровень'!C353</f>
        <v>2428</v>
      </c>
      <c r="C143" s="49">
        <f>'1 уровень'!D353</f>
        <v>1619</v>
      </c>
      <c r="D143" s="49">
        <f>'1 уровень'!E353</f>
        <v>1426</v>
      </c>
      <c r="E143" s="180">
        <f>'1 уровень'!F353</f>
        <v>88.079061148857321</v>
      </c>
      <c r="F143" s="62">
        <f>'1 уровень'!G353</f>
        <v>3299.7075999999997</v>
      </c>
      <c r="G143" s="62">
        <f>'1 уровень'!H353</f>
        <v>2199.81</v>
      </c>
      <c r="H143" s="62">
        <f>'1 уровень'!I353</f>
        <v>1799.7753900000002</v>
      </c>
      <c r="I143" s="62">
        <f>'1 уровень'!J353</f>
        <v>81.815038116928292</v>
      </c>
      <c r="J143" s="103"/>
      <c r="L143" s="727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  <c r="AK143" s="45"/>
      <c r="AL143" s="45"/>
      <c r="AM143" s="45"/>
      <c r="AN143" s="45"/>
      <c r="AO143" s="45"/>
      <c r="AP143" s="45"/>
      <c r="AQ143" s="45"/>
      <c r="AR143" s="45"/>
      <c r="AS143" s="45"/>
      <c r="AT143" s="45"/>
      <c r="AU143" s="45"/>
      <c r="AV143" s="45"/>
      <c r="AW143" s="45"/>
      <c r="AX143" s="45"/>
      <c r="AY143" s="45"/>
      <c r="AZ143" s="45"/>
      <c r="BA143" s="45"/>
      <c r="BB143" s="45"/>
      <c r="BC143" s="45"/>
      <c r="BD143" s="45"/>
      <c r="BE143" s="45"/>
      <c r="BF143" s="45"/>
      <c r="BG143" s="45"/>
      <c r="BH143" s="45"/>
      <c r="BI143" s="45"/>
      <c r="BJ143" s="45"/>
      <c r="BK143" s="45"/>
      <c r="BL143" s="45"/>
      <c r="BM143" s="45"/>
      <c r="BN143" s="45"/>
      <c r="BO143" s="45"/>
      <c r="BP143" s="45"/>
      <c r="BQ143" s="45"/>
      <c r="BR143" s="45"/>
      <c r="BS143" s="45"/>
      <c r="BT143" s="45"/>
      <c r="BU143" s="45"/>
      <c r="BV143" s="45"/>
      <c r="BW143" s="45"/>
      <c r="BX143" s="45"/>
      <c r="BY143" s="45"/>
      <c r="BZ143" s="45"/>
      <c r="CA143" s="45"/>
      <c r="CB143" s="45"/>
      <c r="CC143" s="45"/>
      <c r="CD143" s="45"/>
      <c r="CE143" s="45"/>
      <c r="CF143" s="45"/>
      <c r="CG143" s="45"/>
      <c r="CH143" s="45"/>
      <c r="CI143" s="45"/>
      <c r="CJ143" s="45"/>
      <c r="CK143" s="45"/>
      <c r="CL143" s="45"/>
      <c r="CM143" s="45"/>
      <c r="CN143" s="45"/>
      <c r="CO143" s="45"/>
      <c r="CP143" s="45"/>
      <c r="CQ143" s="45"/>
      <c r="CR143" s="45"/>
      <c r="CS143" s="45"/>
      <c r="CT143" s="45"/>
      <c r="CU143" s="45"/>
      <c r="CV143" s="45"/>
      <c r="CW143" s="45"/>
      <c r="CX143" s="45"/>
      <c r="CY143" s="45"/>
      <c r="CZ143" s="45"/>
      <c r="DA143" s="45"/>
      <c r="DB143" s="45"/>
      <c r="DC143" s="45"/>
      <c r="DD143" s="45"/>
      <c r="DE143" s="45"/>
      <c r="DF143" s="45"/>
      <c r="DG143" s="45"/>
      <c r="DH143" s="45"/>
      <c r="DI143" s="45"/>
      <c r="DJ143" s="45"/>
      <c r="DK143" s="45"/>
      <c r="DL143" s="45"/>
      <c r="DM143" s="45"/>
      <c r="DN143" s="45"/>
      <c r="DO143" s="45"/>
      <c r="DP143" s="45"/>
      <c r="DQ143" s="45"/>
      <c r="DR143" s="45"/>
      <c r="DS143" s="45"/>
      <c r="DT143" s="45"/>
      <c r="DU143" s="45"/>
      <c r="DV143" s="45"/>
      <c r="DW143" s="45"/>
      <c r="DX143" s="45"/>
      <c r="DY143" s="45"/>
      <c r="DZ143" s="45"/>
      <c r="EA143" s="45"/>
      <c r="EB143" s="45"/>
      <c r="EC143" s="45"/>
      <c r="ED143" s="45"/>
      <c r="EE143" s="45"/>
      <c r="EF143" s="45"/>
      <c r="EG143" s="45"/>
      <c r="EH143" s="45"/>
      <c r="EI143" s="45"/>
      <c r="EJ143" s="45"/>
      <c r="EK143" s="45"/>
      <c r="EL143" s="45"/>
      <c r="EM143" s="45"/>
      <c r="EN143" s="45"/>
      <c r="EO143" s="45"/>
      <c r="EP143" s="45"/>
      <c r="EQ143" s="45"/>
      <c r="ER143" s="45"/>
      <c r="ES143" s="45"/>
      <c r="ET143" s="45"/>
      <c r="EU143" s="45"/>
      <c r="EV143" s="45"/>
      <c r="EW143" s="45"/>
      <c r="EX143" s="45"/>
      <c r="EY143" s="45"/>
      <c r="EZ143" s="45"/>
      <c r="FA143" s="45"/>
      <c r="FB143" s="45"/>
      <c r="FC143" s="45"/>
      <c r="FD143" s="45"/>
      <c r="FE143" s="45"/>
      <c r="FF143" s="45"/>
      <c r="FG143" s="45"/>
      <c r="FH143" s="45"/>
      <c r="FI143" s="45"/>
      <c r="FJ143" s="45"/>
      <c r="FK143" s="45"/>
      <c r="FL143" s="45"/>
      <c r="FM143" s="45"/>
      <c r="FN143" s="45"/>
      <c r="FO143" s="45"/>
      <c r="FP143" s="45"/>
      <c r="FQ143" s="45"/>
      <c r="FR143" s="45"/>
      <c r="FS143" s="45"/>
      <c r="FT143" s="45"/>
      <c r="FU143" s="45"/>
      <c r="FV143" s="45"/>
      <c r="FW143" s="45"/>
      <c r="FX143" s="45"/>
      <c r="FY143" s="45"/>
      <c r="FZ143" s="45"/>
      <c r="GA143" s="45"/>
      <c r="GB143" s="45"/>
      <c r="GC143" s="45"/>
    </row>
    <row r="144" spans="1:185" ht="30" x14ac:dyDescent="0.25">
      <c r="A144" s="116" t="s">
        <v>80</v>
      </c>
      <c r="B144" s="49">
        <f>'1 уровень'!C354</f>
        <v>728</v>
      </c>
      <c r="C144" s="49">
        <f>'1 уровень'!D354</f>
        <v>485</v>
      </c>
      <c r="D144" s="49">
        <f>'1 уровень'!E354</f>
        <v>264</v>
      </c>
      <c r="E144" s="180">
        <f>'1 уровень'!F354</f>
        <v>54.432989690721648</v>
      </c>
      <c r="F144" s="62">
        <f>'1 уровень'!G354</f>
        <v>1094.6578100000002</v>
      </c>
      <c r="G144" s="62">
        <f>'1 уровень'!H354</f>
        <v>729.77</v>
      </c>
      <c r="H144" s="62">
        <f>'1 уровень'!I354</f>
        <v>209.29167000000015</v>
      </c>
      <c r="I144" s="62">
        <f>'1 уровень'!J354</f>
        <v>28.679127670361915</v>
      </c>
      <c r="J144" s="103"/>
      <c r="L144" s="727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  <c r="AK144" s="45"/>
      <c r="AL144" s="45"/>
      <c r="AM144" s="45"/>
      <c r="AN144" s="45"/>
      <c r="AO144" s="45"/>
      <c r="AP144" s="45"/>
      <c r="AQ144" s="45"/>
      <c r="AR144" s="45"/>
      <c r="AS144" s="45"/>
      <c r="AT144" s="45"/>
      <c r="AU144" s="45"/>
      <c r="AV144" s="45"/>
      <c r="AW144" s="45"/>
      <c r="AX144" s="45"/>
      <c r="AY144" s="45"/>
      <c r="AZ144" s="45"/>
      <c r="BA144" s="45"/>
      <c r="BB144" s="45"/>
      <c r="BC144" s="45"/>
      <c r="BD144" s="45"/>
      <c r="BE144" s="45"/>
      <c r="BF144" s="45"/>
      <c r="BG144" s="45"/>
      <c r="BH144" s="45"/>
      <c r="BI144" s="45"/>
      <c r="BJ144" s="45"/>
      <c r="BK144" s="45"/>
      <c r="BL144" s="45"/>
      <c r="BM144" s="45"/>
      <c r="BN144" s="45"/>
      <c r="BO144" s="45"/>
      <c r="BP144" s="45"/>
      <c r="BQ144" s="45"/>
      <c r="BR144" s="45"/>
      <c r="BS144" s="45"/>
      <c r="BT144" s="45"/>
      <c r="BU144" s="45"/>
      <c r="BV144" s="45"/>
      <c r="BW144" s="45"/>
      <c r="BX144" s="45"/>
      <c r="BY144" s="45"/>
      <c r="BZ144" s="45"/>
      <c r="CA144" s="45"/>
      <c r="CB144" s="45"/>
      <c r="CC144" s="45"/>
      <c r="CD144" s="45"/>
      <c r="CE144" s="45"/>
      <c r="CF144" s="45"/>
      <c r="CG144" s="45"/>
      <c r="CH144" s="45"/>
      <c r="CI144" s="45"/>
      <c r="CJ144" s="45"/>
      <c r="CK144" s="45"/>
      <c r="CL144" s="45"/>
      <c r="CM144" s="45"/>
      <c r="CN144" s="45"/>
      <c r="CO144" s="45"/>
      <c r="CP144" s="45"/>
      <c r="CQ144" s="45"/>
      <c r="CR144" s="45"/>
      <c r="CS144" s="45"/>
      <c r="CT144" s="45"/>
      <c r="CU144" s="45"/>
      <c r="CV144" s="45"/>
      <c r="CW144" s="45"/>
      <c r="CX144" s="45"/>
      <c r="CY144" s="45"/>
      <c r="CZ144" s="45"/>
      <c r="DA144" s="45"/>
      <c r="DB144" s="45"/>
      <c r="DC144" s="45"/>
      <c r="DD144" s="45"/>
      <c r="DE144" s="45"/>
      <c r="DF144" s="45"/>
      <c r="DG144" s="45"/>
      <c r="DH144" s="45"/>
      <c r="DI144" s="45"/>
      <c r="DJ144" s="45"/>
      <c r="DK144" s="45"/>
      <c r="DL144" s="45"/>
      <c r="DM144" s="45"/>
      <c r="DN144" s="45"/>
      <c r="DO144" s="45"/>
      <c r="DP144" s="45"/>
      <c r="DQ144" s="45"/>
      <c r="DR144" s="45"/>
      <c r="DS144" s="45"/>
      <c r="DT144" s="45"/>
      <c r="DU144" s="45"/>
      <c r="DV144" s="45"/>
      <c r="DW144" s="45"/>
      <c r="DX144" s="45"/>
      <c r="DY144" s="45"/>
      <c r="DZ144" s="45"/>
      <c r="EA144" s="45"/>
      <c r="EB144" s="45"/>
      <c r="EC144" s="45"/>
      <c r="ED144" s="45"/>
      <c r="EE144" s="45"/>
      <c r="EF144" s="45"/>
      <c r="EG144" s="45"/>
      <c r="EH144" s="45"/>
      <c r="EI144" s="45"/>
      <c r="EJ144" s="45"/>
      <c r="EK144" s="45"/>
      <c r="EL144" s="45"/>
      <c r="EM144" s="45"/>
      <c r="EN144" s="45"/>
      <c r="EO144" s="45"/>
      <c r="EP144" s="45"/>
      <c r="EQ144" s="45"/>
      <c r="ER144" s="45"/>
      <c r="ES144" s="45"/>
      <c r="ET144" s="45"/>
      <c r="EU144" s="45"/>
      <c r="EV144" s="45"/>
      <c r="EW144" s="45"/>
      <c r="EX144" s="45"/>
      <c r="EY144" s="45"/>
      <c r="EZ144" s="45"/>
      <c r="FA144" s="45"/>
      <c r="FB144" s="45"/>
      <c r="FC144" s="45"/>
      <c r="FD144" s="45"/>
      <c r="FE144" s="45"/>
      <c r="FF144" s="45"/>
      <c r="FG144" s="45"/>
      <c r="FH144" s="45"/>
      <c r="FI144" s="45"/>
      <c r="FJ144" s="45"/>
      <c r="FK144" s="45"/>
      <c r="FL144" s="45"/>
      <c r="FM144" s="45"/>
      <c r="FN144" s="45"/>
      <c r="FO144" s="45"/>
      <c r="FP144" s="45"/>
      <c r="FQ144" s="45"/>
      <c r="FR144" s="45"/>
      <c r="FS144" s="45"/>
      <c r="FT144" s="45"/>
      <c r="FU144" s="45"/>
      <c r="FV144" s="45"/>
      <c r="FW144" s="45"/>
      <c r="FX144" s="45"/>
      <c r="FY144" s="45"/>
      <c r="FZ144" s="45"/>
      <c r="GA144" s="45"/>
      <c r="GB144" s="45"/>
      <c r="GC144" s="45"/>
    </row>
    <row r="145" spans="1:185" ht="45" x14ac:dyDescent="0.25">
      <c r="A145" s="116" t="s">
        <v>110</v>
      </c>
      <c r="B145" s="49">
        <f>'1 уровень'!C355</f>
        <v>36</v>
      </c>
      <c r="C145" s="49">
        <f>'1 уровень'!D355</f>
        <v>24</v>
      </c>
      <c r="D145" s="49">
        <f>'1 уровень'!E355</f>
        <v>41</v>
      </c>
      <c r="E145" s="180">
        <f>'1 уровень'!F355</f>
        <v>170.83333333333331</v>
      </c>
      <c r="F145" s="62">
        <f>'1 уровень'!G355</f>
        <v>196.86240000000001</v>
      </c>
      <c r="G145" s="62">
        <f>'1 уровень'!H355</f>
        <v>131.24</v>
      </c>
      <c r="H145" s="62">
        <f>'1 уровень'!I355</f>
        <v>224.20439999999996</v>
      </c>
      <c r="I145" s="62">
        <f>'1 уровень'!J355</f>
        <v>170.8354160316976</v>
      </c>
      <c r="J145" s="103"/>
      <c r="L145" s="727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  <c r="AJ145" s="45"/>
      <c r="AK145" s="45"/>
      <c r="AL145" s="45"/>
      <c r="AM145" s="45"/>
      <c r="AN145" s="45"/>
      <c r="AO145" s="45"/>
      <c r="AP145" s="45"/>
      <c r="AQ145" s="45"/>
      <c r="AR145" s="45"/>
      <c r="AS145" s="45"/>
      <c r="AT145" s="45"/>
      <c r="AU145" s="45"/>
      <c r="AV145" s="45"/>
      <c r="AW145" s="45"/>
      <c r="AX145" s="45"/>
      <c r="AY145" s="45"/>
      <c r="AZ145" s="45"/>
      <c r="BA145" s="45"/>
      <c r="BB145" s="45"/>
      <c r="BC145" s="45"/>
      <c r="BD145" s="45"/>
      <c r="BE145" s="45"/>
      <c r="BF145" s="45"/>
      <c r="BG145" s="45"/>
      <c r="BH145" s="45"/>
      <c r="BI145" s="45"/>
      <c r="BJ145" s="45"/>
      <c r="BK145" s="45"/>
      <c r="BL145" s="45"/>
      <c r="BM145" s="45"/>
      <c r="BN145" s="45"/>
      <c r="BO145" s="45"/>
      <c r="BP145" s="45"/>
      <c r="BQ145" s="45"/>
      <c r="BR145" s="45"/>
      <c r="BS145" s="45"/>
      <c r="BT145" s="45"/>
      <c r="BU145" s="45"/>
      <c r="BV145" s="45"/>
      <c r="BW145" s="45"/>
      <c r="BX145" s="45"/>
      <c r="BY145" s="45"/>
      <c r="BZ145" s="45"/>
      <c r="CA145" s="45"/>
      <c r="CB145" s="45"/>
      <c r="CC145" s="45"/>
      <c r="CD145" s="45"/>
      <c r="CE145" s="45"/>
      <c r="CF145" s="45"/>
      <c r="CG145" s="45"/>
      <c r="CH145" s="45"/>
      <c r="CI145" s="45"/>
      <c r="CJ145" s="45"/>
      <c r="CK145" s="45"/>
      <c r="CL145" s="45"/>
      <c r="CM145" s="45"/>
      <c r="CN145" s="45"/>
      <c r="CO145" s="45"/>
      <c r="CP145" s="45"/>
      <c r="CQ145" s="45"/>
      <c r="CR145" s="45"/>
      <c r="CS145" s="45"/>
      <c r="CT145" s="45"/>
      <c r="CU145" s="45"/>
      <c r="CV145" s="45"/>
      <c r="CW145" s="45"/>
      <c r="CX145" s="45"/>
      <c r="CY145" s="45"/>
      <c r="CZ145" s="45"/>
      <c r="DA145" s="45"/>
      <c r="DB145" s="45"/>
      <c r="DC145" s="45"/>
      <c r="DD145" s="45"/>
      <c r="DE145" s="45"/>
      <c r="DF145" s="45"/>
      <c r="DG145" s="45"/>
      <c r="DH145" s="45"/>
      <c r="DI145" s="45"/>
      <c r="DJ145" s="45"/>
      <c r="DK145" s="45"/>
      <c r="DL145" s="45"/>
      <c r="DM145" s="45"/>
      <c r="DN145" s="45"/>
      <c r="DO145" s="45"/>
      <c r="DP145" s="45"/>
      <c r="DQ145" s="45"/>
      <c r="DR145" s="45"/>
      <c r="DS145" s="45"/>
      <c r="DT145" s="45"/>
      <c r="DU145" s="45"/>
      <c r="DV145" s="45"/>
      <c r="DW145" s="45"/>
      <c r="DX145" s="45"/>
      <c r="DY145" s="45"/>
      <c r="DZ145" s="45"/>
      <c r="EA145" s="45"/>
      <c r="EB145" s="45"/>
      <c r="EC145" s="45"/>
      <c r="ED145" s="45"/>
      <c r="EE145" s="45"/>
      <c r="EF145" s="45"/>
      <c r="EG145" s="45"/>
      <c r="EH145" s="45"/>
      <c r="EI145" s="45"/>
      <c r="EJ145" s="45"/>
      <c r="EK145" s="45"/>
      <c r="EL145" s="45"/>
      <c r="EM145" s="45"/>
      <c r="EN145" s="45"/>
      <c r="EO145" s="45"/>
      <c r="EP145" s="45"/>
      <c r="EQ145" s="45"/>
      <c r="ER145" s="45"/>
      <c r="ES145" s="45"/>
      <c r="ET145" s="45"/>
      <c r="EU145" s="45"/>
      <c r="EV145" s="45"/>
      <c r="EW145" s="45"/>
      <c r="EX145" s="45"/>
      <c r="EY145" s="45"/>
      <c r="EZ145" s="45"/>
      <c r="FA145" s="45"/>
      <c r="FB145" s="45"/>
      <c r="FC145" s="45"/>
      <c r="FD145" s="45"/>
      <c r="FE145" s="45"/>
      <c r="FF145" s="45"/>
      <c r="FG145" s="45"/>
      <c r="FH145" s="45"/>
      <c r="FI145" s="45"/>
      <c r="FJ145" s="45"/>
      <c r="FK145" s="45"/>
      <c r="FL145" s="45"/>
      <c r="FM145" s="45"/>
      <c r="FN145" s="45"/>
      <c r="FO145" s="45"/>
      <c r="FP145" s="45"/>
      <c r="FQ145" s="45"/>
      <c r="FR145" s="45"/>
      <c r="FS145" s="45"/>
      <c r="FT145" s="45"/>
      <c r="FU145" s="45"/>
      <c r="FV145" s="45"/>
      <c r="FW145" s="45"/>
      <c r="FX145" s="45"/>
      <c r="FY145" s="45"/>
      <c r="FZ145" s="45"/>
      <c r="GA145" s="45"/>
      <c r="GB145" s="45"/>
      <c r="GC145" s="45"/>
    </row>
    <row r="146" spans="1:185" ht="30" x14ac:dyDescent="0.25">
      <c r="A146" s="116" t="s">
        <v>111</v>
      </c>
      <c r="B146" s="49">
        <f>'1 уровень'!C356</f>
        <v>176</v>
      </c>
      <c r="C146" s="49">
        <f>'1 уровень'!D356</f>
        <v>117</v>
      </c>
      <c r="D146" s="49">
        <f>'1 уровень'!E356</f>
        <v>156</v>
      </c>
      <c r="E146" s="180">
        <f>'1 уровень'!F356</f>
        <v>133.33333333333331</v>
      </c>
      <c r="F146" s="62">
        <f>'1 уровень'!G356</f>
        <v>962.43839999999989</v>
      </c>
      <c r="G146" s="62">
        <f>'1 уровень'!H356</f>
        <v>641.63</v>
      </c>
      <c r="H146" s="62">
        <f>'1 уровень'!I356</f>
        <v>853.07040000000006</v>
      </c>
      <c r="I146" s="62">
        <f>'1 уровень'!J356</f>
        <v>132.95363371413433</v>
      </c>
      <c r="J146" s="103"/>
      <c r="L146" s="727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45"/>
      <c r="AL146" s="45"/>
      <c r="AM146" s="45"/>
      <c r="AN146" s="45"/>
      <c r="AO146" s="45"/>
      <c r="AP146" s="45"/>
      <c r="AQ146" s="45"/>
      <c r="AR146" s="45"/>
      <c r="AS146" s="45"/>
      <c r="AT146" s="45"/>
      <c r="AU146" s="45"/>
      <c r="AV146" s="45"/>
      <c r="AW146" s="45"/>
      <c r="AX146" s="45"/>
      <c r="AY146" s="45"/>
      <c r="AZ146" s="45"/>
      <c r="BA146" s="45"/>
      <c r="BB146" s="45"/>
      <c r="BC146" s="45"/>
      <c r="BD146" s="45"/>
      <c r="BE146" s="45"/>
      <c r="BF146" s="45"/>
      <c r="BG146" s="45"/>
      <c r="BH146" s="45"/>
      <c r="BI146" s="45"/>
      <c r="BJ146" s="45"/>
      <c r="BK146" s="45"/>
      <c r="BL146" s="45"/>
      <c r="BM146" s="45"/>
      <c r="BN146" s="45"/>
      <c r="BO146" s="45"/>
      <c r="BP146" s="45"/>
      <c r="BQ146" s="45"/>
      <c r="BR146" s="45"/>
      <c r="BS146" s="45"/>
      <c r="BT146" s="45"/>
      <c r="BU146" s="45"/>
      <c r="BV146" s="45"/>
      <c r="BW146" s="45"/>
      <c r="BX146" s="45"/>
      <c r="BY146" s="45"/>
      <c r="BZ146" s="45"/>
      <c r="CA146" s="45"/>
      <c r="CB146" s="45"/>
      <c r="CC146" s="45"/>
      <c r="CD146" s="45"/>
      <c r="CE146" s="45"/>
      <c r="CF146" s="45"/>
      <c r="CG146" s="45"/>
      <c r="CH146" s="45"/>
      <c r="CI146" s="45"/>
      <c r="CJ146" s="45"/>
      <c r="CK146" s="45"/>
      <c r="CL146" s="45"/>
      <c r="CM146" s="45"/>
      <c r="CN146" s="45"/>
      <c r="CO146" s="45"/>
      <c r="CP146" s="45"/>
      <c r="CQ146" s="45"/>
      <c r="CR146" s="45"/>
      <c r="CS146" s="45"/>
      <c r="CT146" s="45"/>
      <c r="CU146" s="45"/>
      <c r="CV146" s="45"/>
      <c r="CW146" s="45"/>
      <c r="CX146" s="45"/>
      <c r="CY146" s="45"/>
      <c r="CZ146" s="45"/>
      <c r="DA146" s="45"/>
      <c r="DB146" s="45"/>
      <c r="DC146" s="45"/>
      <c r="DD146" s="45"/>
      <c r="DE146" s="45"/>
      <c r="DF146" s="45"/>
      <c r="DG146" s="45"/>
      <c r="DH146" s="45"/>
      <c r="DI146" s="45"/>
      <c r="DJ146" s="45"/>
      <c r="DK146" s="45"/>
      <c r="DL146" s="45"/>
      <c r="DM146" s="45"/>
      <c r="DN146" s="45"/>
      <c r="DO146" s="45"/>
      <c r="DP146" s="45"/>
      <c r="DQ146" s="45"/>
      <c r="DR146" s="45"/>
      <c r="DS146" s="45"/>
      <c r="DT146" s="45"/>
      <c r="DU146" s="45"/>
      <c r="DV146" s="45"/>
      <c r="DW146" s="45"/>
      <c r="DX146" s="45"/>
      <c r="DY146" s="45"/>
      <c r="DZ146" s="45"/>
      <c r="EA146" s="45"/>
      <c r="EB146" s="45"/>
      <c r="EC146" s="45"/>
      <c r="ED146" s="45"/>
      <c r="EE146" s="45"/>
      <c r="EF146" s="45"/>
      <c r="EG146" s="45"/>
      <c r="EH146" s="45"/>
      <c r="EI146" s="45"/>
      <c r="EJ146" s="45"/>
      <c r="EK146" s="45"/>
      <c r="EL146" s="45"/>
      <c r="EM146" s="45"/>
      <c r="EN146" s="45"/>
      <c r="EO146" s="45"/>
      <c r="EP146" s="45"/>
      <c r="EQ146" s="45"/>
      <c r="ER146" s="45"/>
      <c r="ES146" s="45"/>
      <c r="ET146" s="45"/>
      <c r="EU146" s="45"/>
      <c r="EV146" s="45"/>
      <c r="EW146" s="45"/>
      <c r="EX146" s="45"/>
      <c r="EY146" s="45"/>
      <c r="EZ146" s="45"/>
      <c r="FA146" s="45"/>
      <c r="FB146" s="45"/>
      <c r="FC146" s="45"/>
      <c r="FD146" s="45"/>
      <c r="FE146" s="45"/>
      <c r="FF146" s="45"/>
      <c r="FG146" s="45"/>
      <c r="FH146" s="45"/>
      <c r="FI146" s="45"/>
      <c r="FJ146" s="45"/>
      <c r="FK146" s="45"/>
      <c r="FL146" s="45"/>
      <c r="FM146" s="45"/>
      <c r="FN146" s="45"/>
      <c r="FO146" s="45"/>
      <c r="FP146" s="45"/>
      <c r="FQ146" s="45"/>
      <c r="FR146" s="45"/>
      <c r="FS146" s="45"/>
      <c r="FT146" s="45"/>
      <c r="FU146" s="45"/>
      <c r="FV146" s="45"/>
      <c r="FW146" s="45"/>
      <c r="FX146" s="45"/>
      <c r="FY146" s="45"/>
      <c r="FZ146" s="45"/>
      <c r="GA146" s="45"/>
      <c r="GB146" s="45"/>
      <c r="GC146" s="45"/>
    </row>
    <row r="147" spans="1:185" ht="30" x14ac:dyDescent="0.25">
      <c r="A147" s="542" t="s">
        <v>112</v>
      </c>
      <c r="B147" s="539">
        <f>'1 уровень'!C357</f>
        <v>5552</v>
      </c>
      <c r="C147" s="539">
        <f>'1 уровень'!D357</f>
        <v>3701</v>
      </c>
      <c r="D147" s="539">
        <f>'1 уровень'!E357</f>
        <v>3005</v>
      </c>
      <c r="E147" s="540">
        <f>'1 уровень'!F357</f>
        <v>81.194271818427453</v>
      </c>
      <c r="F147" s="543">
        <f>'1 уровень'!G357</f>
        <v>10392.8236</v>
      </c>
      <c r="G147" s="543">
        <f>'1 уровень'!H357</f>
        <v>6928.5500000000011</v>
      </c>
      <c r="H147" s="543">
        <f>'1 уровень'!I357</f>
        <v>5571.9665500000001</v>
      </c>
      <c r="I147" s="543">
        <f>'1 уровень'!J357</f>
        <v>80.420384496034515</v>
      </c>
      <c r="J147" s="103"/>
      <c r="L147" s="727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  <c r="AJ147" s="45"/>
      <c r="AK147" s="45"/>
      <c r="AL147" s="45"/>
      <c r="AM147" s="45"/>
      <c r="AN147" s="45"/>
      <c r="AO147" s="45"/>
      <c r="AP147" s="45"/>
      <c r="AQ147" s="45"/>
      <c r="AR147" s="45"/>
      <c r="AS147" s="45"/>
      <c r="AT147" s="45"/>
      <c r="AU147" s="45"/>
      <c r="AV147" s="45"/>
      <c r="AW147" s="45"/>
      <c r="AX147" s="45"/>
      <c r="AY147" s="45"/>
      <c r="AZ147" s="45"/>
      <c r="BA147" s="45"/>
      <c r="BB147" s="45"/>
      <c r="BC147" s="45"/>
      <c r="BD147" s="45"/>
      <c r="BE147" s="45"/>
      <c r="BF147" s="45"/>
      <c r="BG147" s="45"/>
      <c r="BH147" s="45"/>
      <c r="BI147" s="45"/>
      <c r="BJ147" s="45"/>
      <c r="BK147" s="45"/>
      <c r="BL147" s="45"/>
      <c r="BM147" s="45"/>
      <c r="BN147" s="45"/>
      <c r="BO147" s="45"/>
      <c r="BP147" s="45"/>
      <c r="BQ147" s="45"/>
      <c r="BR147" s="45"/>
      <c r="BS147" s="45"/>
      <c r="BT147" s="45"/>
      <c r="BU147" s="45"/>
      <c r="BV147" s="45"/>
      <c r="BW147" s="45"/>
      <c r="BX147" s="45"/>
      <c r="BY147" s="45"/>
      <c r="BZ147" s="45"/>
      <c r="CA147" s="45"/>
      <c r="CB147" s="45"/>
      <c r="CC147" s="45"/>
      <c r="CD147" s="45"/>
      <c r="CE147" s="45"/>
      <c r="CF147" s="45"/>
      <c r="CG147" s="45"/>
      <c r="CH147" s="45"/>
      <c r="CI147" s="45"/>
      <c r="CJ147" s="45"/>
      <c r="CK147" s="45"/>
      <c r="CL147" s="45"/>
      <c r="CM147" s="45"/>
      <c r="CN147" s="45"/>
      <c r="CO147" s="45"/>
      <c r="CP147" s="45"/>
      <c r="CQ147" s="45"/>
      <c r="CR147" s="45"/>
      <c r="CS147" s="45"/>
      <c r="CT147" s="45"/>
      <c r="CU147" s="45"/>
      <c r="CV147" s="45"/>
      <c r="CW147" s="45"/>
      <c r="CX147" s="45"/>
      <c r="CY147" s="45"/>
      <c r="CZ147" s="45"/>
      <c r="DA147" s="45"/>
      <c r="DB147" s="45"/>
      <c r="DC147" s="45"/>
      <c r="DD147" s="45"/>
      <c r="DE147" s="45"/>
      <c r="DF147" s="45"/>
      <c r="DG147" s="45"/>
      <c r="DH147" s="45"/>
      <c r="DI147" s="45"/>
      <c r="DJ147" s="45"/>
      <c r="DK147" s="45"/>
      <c r="DL147" s="45"/>
      <c r="DM147" s="45"/>
      <c r="DN147" s="45"/>
      <c r="DO147" s="45"/>
      <c r="DP147" s="45"/>
      <c r="DQ147" s="45"/>
      <c r="DR147" s="45"/>
      <c r="DS147" s="45"/>
      <c r="DT147" s="45"/>
      <c r="DU147" s="45"/>
      <c r="DV147" s="45"/>
      <c r="DW147" s="45"/>
      <c r="DX147" s="45"/>
      <c r="DY147" s="45"/>
      <c r="DZ147" s="45"/>
      <c r="EA147" s="45"/>
      <c r="EB147" s="45"/>
      <c r="EC147" s="45"/>
      <c r="ED147" s="45"/>
      <c r="EE147" s="45"/>
      <c r="EF147" s="45"/>
      <c r="EG147" s="45"/>
      <c r="EH147" s="45"/>
      <c r="EI147" s="45"/>
      <c r="EJ147" s="45"/>
      <c r="EK147" s="45"/>
      <c r="EL147" s="45"/>
      <c r="EM147" s="45"/>
      <c r="EN147" s="45"/>
      <c r="EO147" s="45"/>
      <c r="EP147" s="45"/>
      <c r="EQ147" s="45"/>
      <c r="ER147" s="45"/>
      <c r="ES147" s="45"/>
      <c r="ET147" s="45"/>
      <c r="EU147" s="45"/>
      <c r="EV147" s="45"/>
      <c r="EW147" s="45"/>
      <c r="EX147" s="45"/>
      <c r="EY147" s="45"/>
      <c r="EZ147" s="45"/>
      <c r="FA147" s="45"/>
      <c r="FB147" s="45"/>
      <c r="FC147" s="45"/>
      <c r="FD147" s="45"/>
      <c r="FE147" s="45"/>
      <c r="FF147" s="45"/>
      <c r="FG147" s="45"/>
      <c r="FH147" s="45"/>
      <c r="FI147" s="45"/>
      <c r="FJ147" s="45"/>
      <c r="FK147" s="45"/>
      <c r="FL147" s="45"/>
      <c r="FM147" s="45"/>
      <c r="FN147" s="45"/>
      <c r="FO147" s="45"/>
      <c r="FP147" s="45"/>
      <c r="FQ147" s="45"/>
      <c r="FR147" s="45"/>
      <c r="FS147" s="45"/>
      <c r="FT147" s="45"/>
      <c r="FU147" s="45"/>
      <c r="FV147" s="45"/>
      <c r="FW147" s="45"/>
      <c r="FX147" s="45"/>
      <c r="FY147" s="45"/>
      <c r="FZ147" s="45"/>
      <c r="GA147" s="45"/>
      <c r="GB147" s="45"/>
      <c r="GC147" s="45"/>
    </row>
    <row r="148" spans="1:185" ht="30" x14ac:dyDescent="0.25">
      <c r="A148" s="116" t="s">
        <v>108</v>
      </c>
      <c r="B148" s="49">
        <f>'1 уровень'!C358</f>
        <v>1500</v>
      </c>
      <c r="C148" s="49">
        <f>'1 уровень'!D358</f>
        <v>1000</v>
      </c>
      <c r="D148" s="49">
        <f>'1 уровень'!E358</f>
        <v>669</v>
      </c>
      <c r="E148" s="180">
        <f>'1 уровень'!F358</f>
        <v>66.900000000000006</v>
      </c>
      <c r="F148" s="62">
        <f>'1 уровень'!G358</f>
        <v>2650.65</v>
      </c>
      <c r="G148" s="62">
        <f>'1 уровень'!H358</f>
        <v>1767.1</v>
      </c>
      <c r="H148" s="62">
        <f>'1 уровень'!I358</f>
        <v>1184.1721800000003</v>
      </c>
      <c r="I148" s="62">
        <f>'1 уровень'!J358</f>
        <v>67.012177013185465</v>
      </c>
      <c r="J148" s="103"/>
      <c r="L148" s="727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  <c r="AK148" s="45"/>
      <c r="AL148" s="45"/>
      <c r="AM148" s="45"/>
      <c r="AN148" s="45"/>
      <c r="AO148" s="45"/>
      <c r="AP148" s="45"/>
      <c r="AQ148" s="45"/>
      <c r="AR148" s="45"/>
      <c r="AS148" s="45"/>
      <c r="AT148" s="45"/>
      <c r="AU148" s="45"/>
      <c r="AV148" s="45"/>
      <c r="AW148" s="45"/>
      <c r="AX148" s="45"/>
      <c r="AY148" s="45"/>
      <c r="AZ148" s="45"/>
      <c r="BA148" s="45"/>
      <c r="BB148" s="45"/>
      <c r="BC148" s="45"/>
      <c r="BD148" s="45"/>
      <c r="BE148" s="45"/>
      <c r="BF148" s="45"/>
      <c r="BG148" s="45"/>
      <c r="BH148" s="45"/>
      <c r="BI148" s="45"/>
      <c r="BJ148" s="45"/>
      <c r="BK148" s="45"/>
      <c r="BL148" s="45"/>
      <c r="BM148" s="45"/>
      <c r="BN148" s="45"/>
      <c r="BO148" s="45"/>
      <c r="BP148" s="45"/>
      <c r="BQ148" s="45"/>
      <c r="BR148" s="45"/>
      <c r="BS148" s="45"/>
      <c r="BT148" s="45"/>
      <c r="BU148" s="45"/>
      <c r="BV148" s="45"/>
      <c r="BW148" s="45"/>
      <c r="BX148" s="45"/>
      <c r="BY148" s="45"/>
      <c r="BZ148" s="45"/>
      <c r="CA148" s="45"/>
      <c r="CB148" s="45"/>
      <c r="CC148" s="45"/>
      <c r="CD148" s="45"/>
      <c r="CE148" s="45"/>
      <c r="CF148" s="45"/>
      <c r="CG148" s="45"/>
      <c r="CH148" s="45"/>
      <c r="CI148" s="45"/>
      <c r="CJ148" s="45"/>
      <c r="CK148" s="45"/>
      <c r="CL148" s="45"/>
      <c r="CM148" s="45"/>
      <c r="CN148" s="45"/>
      <c r="CO148" s="45"/>
      <c r="CP148" s="45"/>
      <c r="CQ148" s="45"/>
      <c r="CR148" s="45"/>
      <c r="CS148" s="45"/>
      <c r="CT148" s="45"/>
      <c r="CU148" s="45"/>
      <c r="CV148" s="45"/>
      <c r="CW148" s="45"/>
      <c r="CX148" s="45"/>
      <c r="CY148" s="45"/>
      <c r="CZ148" s="45"/>
      <c r="DA148" s="45"/>
      <c r="DB148" s="45"/>
      <c r="DC148" s="45"/>
      <c r="DD148" s="45"/>
      <c r="DE148" s="45"/>
      <c r="DF148" s="45"/>
      <c r="DG148" s="45"/>
      <c r="DH148" s="45"/>
      <c r="DI148" s="45"/>
      <c r="DJ148" s="45"/>
      <c r="DK148" s="45"/>
      <c r="DL148" s="45"/>
      <c r="DM148" s="45"/>
      <c r="DN148" s="45"/>
      <c r="DO148" s="45"/>
      <c r="DP148" s="45"/>
      <c r="DQ148" s="45"/>
      <c r="DR148" s="45"/>
      <c r="DS148" s="45"/>
      <c r="DT148" s="45"/>
      <c r="DU148" s="45"/>
      <c r="DV148" s="45"/>
      <c r="DW148" s="45"/>
      <c r="DX148" s="45"/>
      <c r="DY148" s="45"/>
      <c r="DZ148" s="45"/>
      <c r="EA148" s="45"/>
      <c r="EB148" s="45"/>
      <c r="EC148" s="45"/>
      <c r="ED148" s="45"/>
      <c r="EE148" s="45"/>
      <c r="EF148" s="45"/>
      <c r="EG148" s="45"/>
      <c r="EH148" s="45"/>
      <c r="EI148" s="45"/>
      <c r="EJ148" s="45"/>
      <c r="EK148" s="45"/>
      <c r="EL148" s="45"/>
      <c r="EM148" s="45"/>
      <c r="EN148" s="45"/>
      <c r="EO148" s="45"/>
      <c r="EP148" s="45"/>
      <c r="EQ148" s="45"/>
      <c r="ER148" s="45"/>
      <c r="ES148" s="45"/>
      <c r="ET148" s="45"/>
      <c r="EU148" s="45"/>
      <c r="EV148" s="45"/>
      <c r="EW148" s="45"/>
      <c r="EX148" s="45"/>
      <c r="EY148" s="45"/>
      <c r="EZ148" s="45"/>
      <c r="FA148" s="45"/>
      <c r="FB148" s="45"/>
      <c r="FC148" s="45"/>
      <c r="FD148" s="45"/>
      <c r="FE148" s="45"/>
      <c r="FF148" s="45"/>
      <c r="FG148" s="45"/>
      <c r="FH148" s="45"/>
      <c r="FI148" s="45"/>
      <c r="FJ148" s="45"/>
      <c r="FK148" s="45"/>
      <c r="FL148" s="45"/>
      <c r="FM148" s="45"/>
      <c r="FN148" s="45"/>
      <c r="FO148" s="45"/>
      <c r="FP148" s="45"/>
      <c r="FQ148" s="45"/>
      <c r="FR148" s="45"/>
      <c r="FS148" s="45"/>
      <c r="FT148" s="45"/>
      <c r="FU148" s="45"/>
      <c r="FV148" s="45"/>
      <c r="FW148" s="45"/>
      <c r="FX148" s="45"/>
      <c r="FY148" s="45"/>
      <c r="FZ148" s="45"/>
      <c r="GA148" s="45"/>
      <c r="GB148" s="45"/>
      <c r="GC148" s="45"/>
    </row>
    <row r="149" spans="1:185" ht="60" x14ac:dyDescent="0.25">
      <c r="A149" s="116" t="s">
        <v>81</v>
      </c>
      <c r="B149" s="49">
        <f>'1 уровень'!C359</f>
        <v>3000</v>
      </c>
      <c r="C149" s="49">
        <f>'1 уровень'!D359</f>
        <v>2000</v>
      </c>
      <c r="D149" s="49">
        <f>'1 уровень'!E359</f>
        <v>1588</v>
      </c>
      <c r="E149" s="180">
        <f>'1 уровень'!F359</f>
        <v>79.400000000000006</v>
      </c>
      <c r="F149" s="62">
        <f>'1 уровень'!G359</f>
        <v>6882.9</v>
      </c>
      <c r="G149" s="62">
        <f>'1 уровень'!H359</f>
        <v>4588.6000000000004</v>
      </c>
      <c r="H149" s="62">
        <f>'1 уровень'!I359</f>
        <v>3775.99224</v>
      </c>
      <c r="I149" s="62">
        <f>'1 уровень'!J359</f>
        <v>82.290725711546003</v>
      </c>
      <c r="J149" s="103"/>
      <c r="L149" s="727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  <c r="AJ149" s="45"/>
      <c r="AK149" s="45"/>
      <c r="AL149" s="45"/>
      <c r="AM149" s="45"/>
      <c r="AN149" s="45"/>
      <c r="AO149" s="45"/>
      <c r="AP149" s="45"/>
      <c r="AQ149" s="45"/>
      <c r="AR149" s="45"/>
      <c r="AS149" s="45"/>
      <c r="AT149" s="45"/>
      <c r="AU149" s="45"/>
      <c r="AV149" s="45"/>
      <c r="AW149" s="45"/>
      <c r="AX149" s="45"/>
      <c r="AY149" s="45"/>
      <c r="AZ149" s="45"/>
      <c r="BA149" s="45"/>
      <c r="BB149" s="45"/>
      <c r="BC149" s="45"/>
      <c r="BD149" s="45"/>
      <c r="BE149" s="45"/>
      <c r="BF149" s="45"/>
      <c r="BG149" s="45"/>
      <c r="BH149" s="45"/>
      <c r="BI149" s="45"/>
      <c r="BJ149" s="45"/>
      <c r="BK149" s="45"/>
      <c r="BL149" s="45"/>
      <c r="BM149" s="45"/>
      <c r="BN149" s="45"/>
      <c r="BO149" s="45"/>
      <c r="BP149" s="45"/>
      <c r="BQ149" s="45"/>
      <c r="BR149" s="45"/>
      <c r="BS149" s="45"/>
      <c r="BT149" s="45"/>
      <c r="BU149" s="45"/>
      <c r="BV149" s="45"/>
      <c r="BW149" s="45"/>
      <c r="BX149" s="45"/>
      <c r="BY149" s="45"/>
      <c r="BZ149" s="45"/>
      <c r="CA149" s="45"/>
      <c r="CB149" s="45"/>
      <c r="CC149" s="45"/>
      <c r="CD149" s="45"/>
      <c r="CE149" s="45"/>
      <c r="CF149" s="45"/>
      <c r="CG149" s="45"/>
      <c r="CH149" s="45"/>
      <c r="CI149" s="45"/>
      <c r="CJ149" s="45"/>
      <c r="CK149" s="45"/>
      <c r="CL149" s="45"/>
      <c r="CM149" s="45"/>
      <c r="CN149" s="45"/>
      <c r="CO149" s="45"/>
      <c r="CP149" s="45"/>
      <c r="CQ149" s="45"/>
      <c r="CR149" s="45"/>
      <c r="CS149" s="45"/>
      <c r="CT149" s="45"/>
      <c r="CU149" s="45"/>
      <c r="CV149" s="45"/>
      <c r="CW149" s="45"/>
      <c r="CX149" s="45"/>
      <c r="CY149" s="45"/>
      <c r="CZ149" s="45"/>
      <c r="DA149" s="45"/>
      <c r="DB149" s="45"/>
      <c r="DC149" s="45"/>
      <c r="DD149" s="45"/>
      <c r="DE149" s="45"/>
      <c r="DF149" s="45"/>
      <c r="DG149" s="45"/>
      <c r="DH149" s="45"/>
      <c r="DI149" s="45"/>
      <c r="DJ149" s="45"/>
      <c r="DK149" s="45"/>
      <c r="DL149" s="45"/>
      <c r="DM149" s="45"/>
      <c r="DN149" s="45"/>
      <c r="DO149" s="45"/>
      <c r="DP149" s="45"/>
      <c r="DQ149" s="45"/>
      <c r="DR149" s="45"/>
      <c r="DS149" s="45"/>
      <c r="DT149" s="45"/>
      <c r="DU149" s="45"/>
      <c r="DV149" s="45"/>
      <c r="DW149" s="45"/>
      <c r="DX149" s="45"/>
      <c r="DY149" s="45"/>
      <c r="DZ149" s="45"/>
      <c r="EA149" s="45"/>
      <c r="EB149" s="45"/>
      <c r="EC149" s="45"/>
      <c r="ED149" s="45"/>
      <c r="EE149" s="45"/>
      <c r="EF149" s="45"/>
      <c r="EG149" s="45"/>
      <c r="EH149" s="45"/>
      <c r="EI149" s="45"/>
      <c r="EJ149" s="45"/>
      <c r="EK149" s="45"/>
      <c r="EL149" s="45"/>
      <c r="EM149" s="45"/>
      <c r="EN149" s="45"/>
      <c r="EO149" s="45"/>
      <c r="EP149" s="45"/>
      <c r="EQ149" s="45"/>
      <c r="ER149" s="45"/>
      <c r="ES149" s="45"/>
      <c r="ET149" s="45"/>
      <c r="EU149" s="45"/>
      <c r="EV149" s="45"/>
      <c r="EW149" s="45"/>
      <c r="EX149" s="45"/>
      <c r="EY149" s="45"/>
      <c r="EZ149" s="45"/>
      <c r="FA149" s="45"/>
      <c r="FB149" s="45"/>
      <c r="FC149" s="45"/>
      <c r="FD149" s="45"/>
      <c r="FE149" s="45"/>
      <c r="FF149" s="45"/>
      <c r="FG149" s="45"/>
      <c r="FH149" s="45"/>
      <c r="FI149" s="45"/>
      <c r="FJ149" s="45"/>
      <c r="FK149" s="45"/>
      <c r="FL149" s="45"/>
      <c r="FM149" s="45"/>
      <c r="FN149" s="45"/>
      <c r="FO149" s="45"/>
      <c r="FP149" s="45"/>
      <c r="FQ149" s="45"/>
      <c r="FR149" s="45"/>
      <c r="FS149" s="45"/>
      <c r="FT149" s="45"/>
      <c r="FU149" s="45"/>
      <c r="FV149" s="45"/>
      <c r="FW149" s="45"/>
      <c r="FX149" s="45"/>
      <c r="FY149" s="45"/>
      <c r="FZ149" s="45"/>
      <c r="GA149" s="45"/>
      <c r="GB149" s="45"/>
      <c r="GC149" s="45"/>
    </row>
    <row r="150" spans="1:185" ht="45" x14ac:dyDescent="0.25">
      <c r="A150" s="116" t="s">
        <v>109</v>
      </c>
      <c r="B150" s="49">
        <f>'1 уровень'!C360</f>
        <v>1052</v>
      </c>
      <c r="C150" s="49">
        <f>'1 уровень'!D360</f>
        <v>701</v>
      </c>
      <c r="D150" s="49">
        <f>'1 уровень'!E360</f>
        <v>748</v>
      </c>
      <c r="E150" s="180">
        <f>'1 уровень'!F360</f>
        <v>106.70470756062767</v>
      </c>
      <c r="F150" s="62">
        <f>'1 уровень'!G360</f>
        <v>859.27359999999999</v>
      </c>
      <c r="G150" s="62">
        <f>'1 уровень'!H360</f>
        <v>572.85</v>
      </c>
      <c r="H150" s="62">
        <f>'1 уровень'!I360</f>
        <v>611.80213000000003</v>
      </c>
      <c r="I150" s="62">
        <f>'1 уровень'!J360</f>
        <v>106.79970847516802</v>
      </c>
      <c r="J150" s="103"/>
      <c r="L150" s="727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  <c r="AK150" s="45"/>
      <c r="AL150" s="45"/>
      <c r="AM150" s="45"/>
      <c r="AN150" s="45"/>
      <c r="AO150" s="45"/>
      <c r="AP150" s="45"/>
      <c r="AQ150" s="45"/>
      <c r="AR150" s="45"/>
      <c r="AS150" s="45"/>
      <c r="AT150" s="45"/>
      <c r="AU150" s="45"/>
      <c r="AV150" s="45"/>
      <c r="AW150" s="45"/>
      <c r="AX150" s="45"/>
      <c r="AY150" s="45"/>
      <c r="AZ150" s="45"/>
      <c r="BA150" s="45"/>
      <c r="BB150" s="45"/>
      <c r="BC150" s="45"/>
      <c r="BD150" s="45"/>
      <c r="BE150" s="45"/>
      <c r="BF150" s="45"/>
      <c r="BG150" s="45"/>
      <c r="BH150" s="45"/>
      <c r="BI150" s="45"/>
      <c r="BJ150" s="45"/>
      <c r="BK150" s="45"/>
      <c r="BL150" s="45"/>
      <c r="BM150" s="45"/>
      <c r="BN150" s="45"/>
      <c r="BO150" s="45"/>
      <c r="BP150" s="45"/>
      <c r="BQ150" s="45"/>
      <c r="BR150" s="45"/>
      <c r="BS150" s="45"/>
      <c r="BT150" s="45"/>
      <c r="BU150" s="45"/>
      <c r="BV150" s="45"/>
      <c r="BW150" s="45"/>
      <c r="BX150" s="45"/>
      <c r="BY150" s="45"/>
      <c r="BZ150" s="45"/>
      <c r="CA150" s="45"/>
      <c r="CB150" s="45"/>
      <c r="CC150" s="45"/>
      <c r="CD150" s="45"/>
      <c r="CE150" s="45"/>
      <c r="CF150" s="45"/>
      <c r="CG150" s="45"/>
      <c r="CH150" s="45"/>
      <c r="CI150" s="45"/>
      <c r="CJ150" s="45"/>
      <c r="CK150" s="45"/>
      <c r="CL150" s="45"/>
      <c r="CM150" s="45"/>
      <c r="CN150" s="45"/>
      <c r="CO150" s="45"/>
      <c r="CP150" s="45"/>
      <c r="CQ150" s="45"/>
      <c r="CR150" s="45"/>
      <c r="CS150" s="45"/>
      <c r="CT150" s="45"/>
      <c r="CU150" s="45"/>
      <c r="CV150" s="45"/>
      <c r="CW150" s="45"/>
      <c r="CX150" s="45"/>
      <c r="CY150" s="45"/>
      <c r="CZ150" s="45"/>
      <c r="DA150" s="45"/>
      <c r="DB150" s="45"/>
      <c r="DC150" s="45"/>
      <c r="DD150" s="45"/>
      <c r="DE150" s="45"/>
      <c r="DF150" s="45"/>
      <c r="DG150" s="45"/>
      <c r="DH150" s="45"/>
      <c r="DI150" s="45"/>
      <c r="DJ150" s="45"/>
      <c r="DK150" s="45"/>
      <c r="DL150" s="45"/>
      <c r="DM150" s="45"/>
      <c r="DN150" s="45"/>
      <c r="DO150" s="45"/>
      <c r="DP150" s="45"/>
      <c r="DQ150" s="45"/>
      <c r="DR150" s="45"/>
      <c r="DS150" s="45"/>
      <c r="DT150" s="45"/>
      <c r="DU150" s="45"/>
      <c r="DV150" s="45"/>
      <c r="DW150" s="45"/>
      <c r="DX150" s="45"/>
      <c r="DY150" s="45"/>
      <c r="DZ150" s="45"/>
      <c r="EA150" s="45"/>
      <c r="EB150" s="45"/>
      <c r="EC150" s="45"/>
      <c r="ED150" s="45"/>
      <c r="EE150" s="45"/>
      <c r="EF150" s="45"/>
      <c r="EG150" s="45"/>
      <c r="EH150" s="45"/>
      <c r="EI150" s="45"/>
      <c r="EJ150" s="45"/>
      <c r="EK150" s="45"/>
      <c r="EL150" s="45"/>
      <c r="EM150" s="45"/>
      <c r="EN150" s="45"/>
      <c r="EO150" s="45"/>
      <c r="EP150" s="45"/>
      <c r="EQ150" s="45"/>
      <c r="ER150" s="45"/>
      <c r="ES150" s="45"/>
      <c r="ET150" s="45"/>
      <c r="EU150" s="45"/>
      <c r="EV150" s="45"/>
      <c r="EW150" s="45"/>
      <c r="EX150" s="45"/>
      <c r="EY150" s="45"/>
      <c r="EZ150" s="45"/>
      <c r="FA150" s="45"/>
      <c r="FB150" s="45"/>
      <c r="FC150" s="45"/>
      <c r="FD150" s="45"/>
      <c r="FE150" s="45"/>
      <c r="FF150" s="45"/>
      <c r="FG150" s="45"/>
      <c r="FH150" s="45"/>
      <c r="FI150" s="45"/>
      <c r="FJ150" s="45"/>
      <c r="FK150" s="45"/>
      <c r="FL150" s="45"/>
      <c r="FM150" s="45"/>
      <c r="FN150" s="45"/>
      <c r="FO150" s="45"/>
      <c r="FP150" s="45"/>
      <c r="FQ150" s="45"/>
      <c r="FR150" s="45"/>
      <c r="FS150" s="45"/>
      <c r="FT150" s="45"/>
      <c r="FU150" s="45"/>
      <c r="FV150" s="45"/>
      <c r="FW150" s="45"/>
      <c r="FX150" s="45"/>
      <c r="FY150" s="45"/>
      <c r="FZ150" s="45"/>
      <c r="GA150" s="45"/>
      <c r="GB150" s="45"/>
      <c r="GC150" s="45"/>
    </row>
    <row r="151" spans="1:185" ht="30" x14ac:dyDescent="0.25">
      <c r="A151" s="667" t="s">
        <v>123</v>
      </c>
      <c r="B151" s="49">
        <f>'1 уровень'!C349</f>
        <v>8400</v>
      </c>
      <c r="C151" s="49">
        <f>'1 уровень'!D349</f>
        <v>5600</v>
      </c>
      <c r="D151" s="49">
        <f>'1 уровень'!E349</f>
        <v>3681</v>
      </c>
      <c r="E151" s="180">
        <f>'1 уровень'!F349</f>
        <v>65.732142857142861</v>
      </c>
      <c r="F151" s="62">
        <f>'1 уровень'!G349</f>
        <v>6812.5680000000002</v>
      </c>
      <c r="G151" s="62">
        <f>'1 уровень'!H349</f>
        <v>4541.71</v>
      </c>
      <c r="H151" s="62">
        <f>'1 уровень'!I349</f>
        <v>2945.9987599999995</v>
      </c>
      <c r="I151" s="62">
        <f>'1 уровень'!J349</f>
        <v>64.865408843805511</v>
      </c>
      <c r="J151" s="103"/>
      <c r="K151" s="103"/>
      <c r="L151" s="103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  <c r="AJ151" s="45"/>
      <c r="AK151" s="45"/>
      <c r="AL151" s="45"/>
      <c r="AM151" s="45"/>
      <c r="AN151" s="45"/>
      <c r="AO151" s="45"/>
      <c r="AP151" s="45"/>
      <c r="AQ151" s="45"/>
      <c r="AR151" s="45"/>
      <c r="AS151" s="45"/>
      <c r="AT151" s="45"/>
      <c r="AU151" s="45"/>
      <c r="AV151" s="45"/>
      <c r="AW151" s="45"/>
      <c r="AX151" s="45"/>
      <c r="AY151" s="45"/>
      <c r="AZ151" s="45"/>
      <c r="BA151" s="45"/>
      <c r="BB151" s="45"/>
      <c r="BC151" s="45"/>
      <c r="BD151" s="45"/>
      <c r="BE151" s="45"/>
      <c r="BF151" s="45"/>
      <c r="BG151" s="45"/>
      <c r="BH151" s="45"/>
      <c r="BI151" s="45"/>
      <c r="BJ151" s="45"/>
      <c r="BK151" s="45"/>
      <c r="BL151" s="45"/>
      <c r="BM151" s="45"/>
      <c r="BN151" s="45"/>
      <c r="BO151" s="45"/>
      <c r="BP151" s="45"/>
      <c r="BQ151" s="45"/>
      <c r="BR151" s="45"/>
      <c r="BS151" s="45"/>
      <c r="BT151" s="45"/>
      <c r="BU151" s="45"/>
      <c r="BV151" s="45"/>
      <c r="BW151" s="45"/>
      <c r="BX151" s="45"/>
      <c r="BY151" s="45"/>
      <c r="BZ151" s="45"/>
      <c r="CA151" s="45"/>
      <c r="CB151" s="45"/>
      <c r="CC151" s="45"/>
      <c r="CD151" s="45"/>
      <c r="CE151" s="45"/>
      <c r="CF151" s="45"/>
      <c r="CG151" s="45"/>
      <c r="CH151" s="45"/>
      <c r="CI151" s="45"/>
      <c r="CJ151" s="45"/>
      <c r="CK151" s="45"/>
      <c r="CL151" s="45"/>
      <c r="CM151" s="45"/>
      <c r="CN151" s="45"/>
      <c r="CO151" s="45"/>
      <c r="CP151" s="45"/>
      <c r="CQ151" s="45"/>
      <c r="CR151" s="45"/>
      <c r="CS151" s="45"/>
      <c r="CT151" s="45"/>
      <c r="CU151" s="45"/>
      <c r="CV151" s="45"/>
      <c r="CW151" s="45"/>
      <c r="CX151" s="45"/>
      <c r="CY151" s="45"/>
      <c r="CZ151" s="45"/>
      <c r="DA151" s="45"/>
      <c r="DB151" s="45"/>
      <c r="DC151" s="45"/>
      <c r="DD151" s="45"/>
      <c r="DE151" s="45"/>
      <c r="DF151" s="45"/>
      <c r="DG151" s="45"/>
      <c r="DH151" s="45"/>
      <c r="DI151" s="45"/>
      <c r="DJ151" s="45"/>
      <c r="DK151" s="45"/>
      <c r="DL151" s="45"/>
      <c r="DM151" s="45"/>
      <c r="DN151" s="45"/>
      <c r="DO151" s="45"/>
      <c r="DP151" s="45"/>
      <c r="DQ151" s="45"/>
      <c r="DR151" s="45"/>
      <c r="DS151" s="45"/>
      <c r="DT151" s="45"/>
      <c r="DU151" s="45"/>
      <c r="DV151" s="45"/>
      <c r="DW151" s="45"/>
      <c r="DX151" s="45"/>
      <c r="DY151" s="45"/>
      <c r="DZ151" s="45"/>
      <c r="EA151" s="45"/>
      <c r="EB151" s="45"/>
      <c r="EC151" s="45"/>
      <c r="ED151" s="45"/>
      <c r="EE151" s="45"/>
      <c r="EF151" s="45"/>
      <c r="EG151" s="45"/>
      <c r="EH151" s="45"/>
      <c r="EI151" s="45"/>
      <c r="EJ151" s="45"/>
      <c r="EK151" s="45"/>
      <c r="EL151" s="45"/>
      <c r="EM151" s="45"/>
      <c r="EN151" s="45"/>
      <c r="EO151" s="45"/>
      <c r="EP151" s="45"/>
      <c r="EQ151" s="45"/>
      <c r="ER151" s="45"/>
      <c r="ES151" s="45"/>
      <c r="ET151" s="45"/>
      <c r="EU151" s="45"/>
      <c r="EV151" s="45"/>
      <c r="EW151" s="45"/>
      <c r="EX151" s="45"/>
      <c r="EY151" s="45"/>
      <c r="EZ151" s="45"/>
      <c r="FA151" s="45"/>
      <c r="FB151" s="45"/>
      <c r="FC151" s="45"/>
      <c r="FD151" s="45"/>
      <c r="FE151" s="45"/>
      <c r="FF151" s="45"/>
      <c r="FG151" s="45"/>
      <c r="FH151" s="45"/>
      <c r="FI151" s="45"/>
      <c r="FJ151" s="45"/>
      <c r="FK151" s="45"/>
      <c r="FL151" s="45"/>
      <c r="FM151" s="45"/>
      <c r="FN151" s="45"/>
      <c r="FO151" s="45"/>
      <c r="FP151" s="45"/>
      <c r="FQ151" s="45"/>
      <c r="FR151" s="45"/>
      <c r="FS151" s="45"/>
      <c r="FT151" s="45"/>
      <c r="FU151" s="45"/>
      <c r="FV151" s="45"/>
      <c r="FW151" s="45"/>
      <c r="FX151" s="45"/>
      <c r="FY151" s="45"/>
      <c r="FZ151" s="45"/>
      <c r="GA151" s="45"/>
      <c r="GB151" s="45"/>
      <c r="GC151" s="45"/>
    </row>
    <row r="152" spans="1:185" ht="15.75" thickBot="1" x14ac:dyDescent="0.3">
      <c r="A152" s="108" t="s">
        <v>106</v>
      </c>
      <c r="B152" s="49">
        <f>'1 уровень'!C362</f>
        <v>0</v>
      </c>
      <c r="C152" s="49">
        <f>'1 уровень'!D362</f>
        <v>0</v>
      </c>
      <c r="D152" s="49">
        <f>'1 уровень'!E362</f>
        <v>0</v>
      </c>
      <c r="E152" s="180">
        <f>'1 уровень'!F362</f>
        <v>0</v>
      </c>
      <c r="F152" s="62">
        <f>'1 уровень'!G362</f>
        <v>22759.057809999998</v>
      </c>
      <c r="G152" s="62">
        <f>'1 уровень'!H362</f>
        <v>15172.71</v>
      </c>
      <c r="H152" s="62">
        <f>'1 уровень'!I362</f>
        <v>11604.30717</v>
      </c>
      <c r="I152" s="62">
        <f>'1 уровень'!J362</f>
        <v>76.481440494150348</v>
      </c>
      <c r="J152" s="103"/>
      <c r="L152" s="727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  <c r="AJ152" s="45"/>
      <c r="AK152" s="45"/>
      <c r="AL152" s="45"/>
      <c r="AM152" s="45"/>
      <c r="AN152" s="45"/>
      <c r="AO152" s="45"/>
      <c r="AP152" s="45"/>
      <c r="AQ152" s="45"/>
      <c r="AR152" s="45"/>
      <c r="AS152" s="45"/>
      <c r="AT152" s="45"/>
      <c r="AU152" s="45"/>
      <c r="AV152" s="45"/>
      <c r="AW152" s="45"/>
      <c r="AX152" s="45"/>
      <c r="AY152" s="45"/>
      <c r="AZ152" s="45"/>
      <c r="BA152" s="45"/>
      <c r="BB152" s="45"/>
      <c r="BC152" s="45"/>
      <c r="BD152" s="45"/>
      <c r="BE152" s="45"/>
      <c r="BF152" s="45"/>
      <c r="BG152" s="45"/>
      <c r="BH152" s="45"/>
      <c r="BI152" s="45"/>
      <c r="BJ152" s="45"/>
      <c r="BK152" s="45"/>
      <c r="BL152" s="45"/>
      <c r="BM152" s="45"/>
      <c r="BN152" s="45"/>
      <c r="BO152" s="45"/>
      <c r="BP152" s="45"/>
      <c r="BQ152" s="45"/>
      <c r="BR152" s="45"/>
      <c r="BS152" s="45"/>
      <c r="BT152" s="45"/>
      <c r="BU152" s="45"/>
      <c r="BV152" s="45"/>
      <c r="BW152" s="45"/>
      <c r="BX152" s="45"/>
      <c r="BY152" s="45"/>
      <c r="BZ152" s="45"/>
      <c r="CA152" s="45"/>
      <c r="CB152" s="45"/>
      <c r="CC152" s="45"/>
      <c r="CD152" s="45"/>
      <c r="CE152" s="45"/>
      <c r="CF152" s="45"/>
      <c r="CG152" s="45"/>
      <c r="CH152" s="45"/>
      <c r="CI152" s="45"/>
      <c r="CJ152" s="45"/>
      <c r="CK152" s="45"/>
      <c r="CL152" s="45"/>
      <c r="CM152" s="45"/>
      <c r="CN152" s="45"/>
      <c r="CO152" s="45"/>
      <c r="CP152" s="45"/>
      <c r="CQ152" s="45"/>
      <c r="CR152" s="45"/>
      <c r="CS152" s="45"/>
      <c r="CT152" s="45"/>
      <c r="CU152" s="45"/>
      <c r="CV152" s="45"/>
      <c r="CW152" s="45"/>
      <c r="CX152" s="45"/>
      <c r="CY152" s="45"/>
      <c r="CZ152" s="45"/>
      <c r="DA152" s="45"/>
      <c r="DB152" s="45"/>
      <c r="DC152" s="45"/>
      <c r="DD152" s="45"/>
      <c r="DE152" s="45"/>
      <c r="DF152" s="45"/>
      <c r="DG152" s="45"/>
      <c r="DH152" s="45"/>
      <c r="DI152" s="45"/>
      <c r="DJ152" s="45"/>
      <c r="DK152" s="45"/>
      <c r="DL152" s="45"/>
      <c r="DM152" s="45"/>
      <c r="DN152" s="45"/>
      <c r="DO152" s="45"/>
      <c r="DP152" s="45"/>
      <c r="DQ152" s="45"/>
      <c r="DR152" s="45"/>
      <c r="DS152" s="45"/>
      <c r="DT152" s="45"/>
      <c r="DU152" s="45"/>
      <c r="DV152" s="45"/>
      <c r="DW152" s="45"/>
      <c r="DX152" s="45"/>
      <c r="DY152" s="45"/>
      <c r="DZ152" s="45"/>
      <c r="EA152" s="45"/>
      <c r="EB152" s="45"/>
      <c r="EC152" s="45"/>
      <c r="ED152" s="45"/>
      <c r="EE152" s="45"/>
      <c r="EF152" s="45"/>
      <c r="EG152" s="45"/>
      <c r="EH152" s="45"/>
      <c r="EI152" s="45"/>
      <c r="EJ152" s="45"/>
      <c r="EK152" s="45"/>
      <c r="EL152" s="45"/>
      <c r="EM152" s="45"/>
      <c r="EN152" s="45"/>
      <c r="EO152" s="45"/>
      <c r="EP152" s="45"/>
      <c r="EQ152" s="45"/>
      <c r="ER152" s="45"/>
      <c r="ES152" s="45"/>
      <c r="ET152" s="45"/>
      <c r="EU152" s="45"/>
      <c r="EV152" s="45"/>
      <c r="EW152" s="45"/>
      <c r="EX152" s="45"/>
      <c r="EY152" s="45"/>
      <c r="EZ152" s="45"/>
      <c r="FA152" s="45"/>
      <c r="FB152" s="45"/>
      <c r="FC152" s="45"/>
      <c r="FD152" s="45"/>
      <c r="FE152" s="45"/>
      <c r="FF152" s="45"/>
      <c r="FG152" s="45"/>
      <c r="FH152" s="45"/>
      <c r="FI152" s="45"/>
      <c r="FJ152" s="45"/>
      <c r="FK152" s="45"/>
      <c r="FL152" s="45"/>
      <c r="FM152" s="45"/>
      <c r="FN152" s="45"/>
      <c r="FO152" s="45"/>
      <c r="FP152" s="45"/>
      <c r="FQ152" s="45"/>
      <c r="FR152" s="45"/>
      <c r="FS152" s="45"/>
      <c r="FT152" s="45"/>
      <c r="FU152" s="45"/>
      <c r="FV152" s="45"/>
      <c r="FW152" s="45"/>
      <c r="FX152" s="45"/>
      <c r="FY152" s="45"/>
      <c r="FZ152" s="45"/>
      <c r="GA152" s="45"/>
      <c r="GB152" s="45"/>
      <c r="GC152" s="45"/>
    </row>
    <row r="153" spans="1:185" x14ac:dyDescent="0.25">
      <c r="A153" s="96" t="s">
        <v>26</v>
      </c>
      <c r="B153" s="97"/>
      <c r="C153" s="97"/>
      <c r="D153" s="97"/>
      <c r="E153" s="183"/>
      <c r="F153" s="99"/>
      <c r="G153" s="99"/>
      <c r="H153" s="99"/>
      <c r="I153" s="99"/>
      <c r="J153" s="103"/>
      <c r="L153" s="727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45"/>
      <c r="AA153" s="45"/>
      <c r="AB153" s="45"/>
      <c r="AC153" s="45"/>
      <c r="AD153" s="45"/>
      <c r="AE153" s="45"/>
      <c r="AF153" s="45"/>
      <c r="AG153" s="45"/>
      <c r="AH153" s="45"/>
      <c r="AI153" s="45"/>
      <c r="AJ153" s="45"/>
      <c r="AK153" s="45"/>
      <c r="AL153" s="45"/>
      <c r="AM153" s="45"/>
      <c r="AN153" s="45"/>
      <c r="AO153" s="45"/>
      <c r="AP153" s="45"/>
      <c r="AQ153" s="45"/>
      <c r="AR153" s="45"/>
      <c r="AS153" s="45"/>
      <c r="AT153" s="45"/>
      <c r="AU153" s="45"/>
      <c r="AV153" s="45"/>
      <c r="AW153" s="45"/>
      <c r="AX153" s="45"/>
      <c r="AY153" s="45"/>
      <c r="AZ153" s="45"/>
      <c r="BA153" s="45"/>
      <c r="BB153" s="45"/>
      <c r="BC153" s="45"/>
      <c r="BD153" s="45"/>
      <c r="BE153" s="45"/>
      <c r="BF153" s="45"/>
      <c r="BG153" s="45"/>
      <c r="BH153" s="45"/>
      <c r="BI153" s="45"/>
      <c r="BJ153" s="45"/>
      <c r="BK153" s="45"/>
      <c r="BL153" s="45"/>
      <c r="BM153" s="45"/>
      <c r="BN153" s="45"/>
      <c r="BO153" s="45"/>
      <c r="BP153" s="45"/>
      <c r="BQ153" s="45"/>
      <c r="BR153" s="45"/>
      <c r="BS153" s="45"/>
      <c r="BT153" s="45"/>
      <c r="BU153" s="45"/>
      <c r="BV153" s="45"/>
      <c r="BW153" s="45"/>
      <c r="BX153" s="45"/>
      <c r="BY153" s="45"/>
      <c r="BZ153" s="45"/>
      <c r="CA153" s="45"/>
      <c r="CB153" s="45"/>
      <c r="CC153" s="45"/>
      <c r="CD153" s="45"/>
      <c r="CE153" s="45"/>
      <c r="CF153" s="45"/>
      <c r="CG153" s="45"/>
      <c r="CH153" s="45"/>
      <c r="CI153" s="45"/>
      <c r="CJ153" s="45"/>
      <c r="CK153" s="45"/>
      <c r="CL153" s="45"/>
      <c r="CM153" s="45"/>
      <c r="CN153" s="45"/>
      <c r="CO153" s="45"/>
      <c r="CP153" s="45"/>
      <c r="CQ153" s="45"/>
      <c r="CR153" s="45"/>
      <c r="CS153" s="45"/>
      <c r="CT153" s="45"/>
      <c r="CU153" s="45"/>
      <c r="CV153" s="45"/>
      <c r="CW153" s="45"/>
      <c r="CX153" s="45"/>
      <c r="CY153" s="45"/>
      <c r="CZ153" s="45"/>
      <c r="DA153" s="45"/>
      <c r="DB153" s="45"/>
      <c r="DC153" s="45"/>
      <c r="DD153" s="45"/>
      <c r="DE153" s="45"/>
      <c r="DF153" s="45"/>
      <c r="DG153" s="45"/>
      <c r="DH153" s="45"/>
      <c r="DI153" s="45"/>
      <c r="DJ153" s="45"/>
      <c r="DK153" s="45"/>
      <c r="DL153" s="45"/>
      <c r="DM153" s="45"/>
      <c r="DN153" s="45"/>
      <c r="DO153" s="45"/>
      <c r="DP153" s="45"/>
      <c r="DQ153" s="45"/>
      <c r="DR153" s="45"/>
      <c r="DS153" s="45"/>
      <c r="DT153" s="45"/>
      <c r="DU153" s="45"/>
      <c r="DV153" s="45"/>
      <c r="DW153" s="45"/>
      <c r="DX153" s="45"/>
      <c r="DY153" s="45"/>
      <c r="DZ153" s="45"/>
      <c r="EA153" s="45"/>
      <c r="EB153" s="45"/>
      <c r="EC153" s="45"/>
      <c r="ED153" s="45"/>
      <c r="EE153" s="45"/>
      <c r="EF153" s="45"/>
      <c r="EG153" s="45"/>
      <c r="EH153" s="45"/>
      <c r="EI153" s="45"/>
      <c r="EJ153" s="45"/>
      <c r="EK153" s="45"/>
      <c r="EL153" s="45"/>
      <c r="EM153" s="45"/>
      <c r="EN153" s="45"/>
      <c r="EO153" s="45"/>
      <c r="EP153" s="45"/>
      <c r="EQ153" s="45"/>
      <c r="ER153" s="45"/>
      <c r="ES153" s="45"/>
      <c r="ET153" s="45"/>
      <c r="EU153" s="45"/>
      <c r="EV153" s="45"/>
      <c r="EW153" s="45"/>
      <c r="EX153" s="45"/>
      <c r="EY153" s="45"/>
      <c r="EZ153" s="45"/>
      <c r="FA153" s="45"/>
      <c r="FB153" s="45"/>
      <c r="FC153" s="45"/>
      <c r="FD153" s="45"/>
      <c r="FE153" s="45"/>
      <c r="FF153" s="45"/>
      <c r="FG153" s="45"/>
      <c r="FH153" s="45"/>
      <c r="FI153" s="45"/>
      <c r="FJ153" s="45"/>
      <c r="FK153" s="45"/>
      <c r="FL153" s="45"/>
      <c r="FM153" s="45"/>
      <c r="FN153" s="45"/>
      <c r="FO153" s="45"/>
      <c r="FP153" s="45"/>
      <c r="FQ153" s="45"/>
      <c r="FR153" s="45"/>
      <c r="FS153" s="45"/>
      <c r="FT153" s="45"/>
      <c r="FU153" s="45"/>
      <c r="FV153" s="45"/>
      <c r="FW153" s="45"/>
      <c r="FX153" s="45"/>
      <c r="FY153" s="45"/>
      <c r="FZ153" s="45"/>
      <c r="GA153" s="45"/>
      <c r="GB153" s="45"/>
      <c r="GC153" s="45"/>
    </row>
    <row r="154" spans="1:185" ht="30" x14ac:dyDescent="0.25">
      <c r="A154" s="542" t="s">
        <v>120</v>
      </c>
      <c r="B154" s="539">
        <f>'2 уровень'!C251</f>
        <v>4546</v>
      </c>
      <c r="C154" s="539">
        <f>'2 уровень'!D251</f>
        <v>3030</v>
      </c>
      <c r="D154" s="539">
        <f>'2 уровень'!E251</f>
        <v>3497</v>
      </c>
      <c r="E154" s="540">
        <f>'2 уровень'!F251</f>
        <v>115.41254125412541</v>
      </c>
      <c r="F154" s="543">
        <f>'2 уровень'!G251</f>
        <v>8110.0550999999996</v>
      </c>
      <c r="G154" s="543">
        <f>'2 уровень'!H251</f>
        <v>5406.71</v>
      </c>
      <c r="H154" s="543">
        <f>'2 уровень'!I251</f>
        <v>5875.5880099999995</v>
      </c>
      <c r="I154" s="543">
        <f>'2 уровень'!J251</f>
        <v>108.67215016155849</v>
      </c>
      <c r="J154" s="103"/>
      <c r="L154" s="727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  <c r="AJ154" s="45"/>
      <c r="AK154" s="45"/>
      <c r="AL154" s="45"/>
      <c r="AM154" s="45"/>
      <c r="AN154" s="45"/>
      <c r="AO154" s="45"/>
      <c r="AP154" s="45"/>
      <c r="AQ154" s="45"/>
      <c r="AR154" s="45"/>
      <c r="AS154" s="45"/>
      <c r="AT154" s="45"/>
      <c r="AU154" s="45"/>
      <c r="AV154" s="45"/>
      <c r="AW154" s="45"/>
      <c r="AX154" s="45"/>
      <c r="AY154" s="45"/>
      <c r="AZ154" s="45"/>
      <c r="BA154" s="45"/>
      <c r="BB154" s="45"/>
      <c r="BC154" s="45"/>
      <c r="BD154" s="45"/>
      <c r="BE154" s="45"/>
      <c r="BF154" s="45"/>
      <c r="BG154" s="45"/>
      <c r="BH154" s="45"/>
      <c r="BI154" s="45"/>
      <c r="BJ154" s="45"/>
      <c r="BK154" s="45"/>
      <c r="BL154" s="45"/>
      <c r="BM154" s="45"/>
      <c r="BN154" s="45"/>
      <c r="BO154" s="45"/>
      <c r="BP154" s="45"/>
      <c r="BQ154" s="45"/>
      <c r="BR154" s="45"/>
      <c r="BS154" s="45"/>
      <c r="BT154" s="45"/>
      <c r="BU154" s="45"/>
      <c r="BV154" s="45"/>
      <c r="BW154" s="45"/>
      <c r="BX154" s="45"/>
      <c r="BY154" s="45"/>
      <c r="BZ154" s="45"/>
      <c r="CA154" s="45"/>
      <c r="CB154" s="45"/>
      <c r="CC154" s="45"/>
      <c r="CD154" s="45"/>
      <c r="CE154" s="45"/>
      <c r="CF154" s="45"/>
      <c r="CG154" s="45"/>
      <c r="CH154" s="45"/>
      <c r="CI154" s="45"/>
      <c r="CJ154" s="45"/>
      <c r="CK154" s="45"/>
      <c r="CL154" s="45"/>
      <c r="CM154" s="45"/>
      <c r="CN154" s="45"/>
      <c r="CO154" s="45"/>
      <c r="CP154" s="45"/>
      <c r="CQ154" s="45"/>
      <c r="CR154" s="45"/>
      <c r="CS154" s="45"/>
      <c r="CT154" s="45"/>
      <c r="CU154" s="45"/>
      <c r="CV154" s="45"/>
      <c r="CW154" s="45"/>
      <c r="CX154" s="45"/>
      <c r="CY154" s="45"/>
      <c r="CZ154" s="45"/>
      <c r="DA154" s="45"/>
      <c r="DB154" s="45"/>
      <c r="DC154" s="45"/>
      <c r="DD154" s="45"/>
      <c r="DE154" s="45"/>
      <c r="DF154" s="45"/>
      <c r="DG154" s="45"/>
      <c r="DH154" s="45"/>
      <c r="DI154" s="45"/>
      <c r="DJ154" s="45"/>
      <c r="DK154" s="45"/>
      <c r="DL154" s="45"/>
      <c r="DM154" s="45"/>
      <c r="DN154" s="45"/>
      <c r="DO154" s="45"/>
      <c r="DP154" s="45"/>
      <c r="DQ154" s="45"/>
      <c r="DR154" s="45"/>
      <c r="DS154" s="45"/>
      <c r="DT154" s="45"/>
      <c r="DU154" s="45"/>
      <c r="DV154" s="45"/>
      <c r="DW154" s="45"/>
      <c r="DX154" s="45"/>
      <c r="DY154" s="45"/>
      <c r="DZ154" s="45"/>
      <c r="EA154" s="45"/>
      <c r="EB154" s="45"/>
      <c r="EC154" s="45"/>
      <c r="ED154" s="45"/>
      <c r="EE154" s="45"/>
      <c r="EF154" s="45"/>
      <c r="EG154" s="45"/>
      <c r="EH154" s="45"/>
      <c r="EI154" s="45"/>
      <c r="EJ154" s="45"/>
      <c r="EK154" s="45"/>
      <c r="EL154" s="45"/>
      <c r="EM154" s="45"/>
      <c r="EN154" s="45"/>
      <c r="EO154" s="45"/>
      <c r="EP154" s="45"/>
      <c r="EQ154" s="45"/>
      <c r="ER154" s="45"/>
      <c r="ES154" s="45"/>
      <c r="ET154" s="45"/>
      <c r="EU154" s="45"/>
      <c r="EV154" s="45"/>
      <c r="EW154" s="45"/>
      <c r="EX154" s="45"/>
      <c r="EY154" s="45"/>
      <c r="EZ154" s="45"/>
      <c r="FA154" s="45"/>
      <c r="FB154" s="45"/>
      <c r="FC154" s="45"/>
      <c r="FD154" s="45"/>
      <c r="FE154" s="45"/>
      <c r="FF154" s="45"/>
      <c r="FG154" s="45"/>
      <c r="FH154" s="45"/>
      <c r="FI154" s="45"/>
      <c r="FJ154" s="45"/>
      <c r="FK154" s="45"/>
      <c r="FL154" s="45"/>
      <c r="FM154" s="45"/>
      <c r="FN154" s="45"/>
      <c r="FO154" s="45"/>
      <c r="FP154" s="45"/>
      <c r="FQ154" s="45"/>
      <c r="FR154" s="45"/>
      <c r="FS154" s="45"/>
      <c r="FT154" s="45"/>
      <c r="FU154" s="45"/>
      <c r="FV154" s="45"/>
      <c r="FW154" s="45"/>
      <c r="FX154" s="45"/>
      <c r="FY154" s="45"/>
      <c r="FZ154" s="45"/>
      <c r="GA154" s="45"/>
      <c r="GB154" s="45"/>
      <c r="GC154" s="45"/>
    </row>
    <row r="155" spans="1:185" ht="30" x14ac:dyDescent="0.25">
      <c r="A155" s="116" t="s">
        <v>79</v>
      </c>
      <c r="B155" s="251">
        <f>'2 уровень'!C252</f>
        <v>3338</v>
      </c>
      <c r="C155" s="251">
        <f>'2 уровень'!D252</f>
        <v>2225</v>
      </c>
      <c r="D155" s="49">
        <f>'2 уровень'!E252</f>
        <v>2549</v>
      </c>
      <c r="E155" s="252">
        <f>'2 уровень'!F252</f>
        <v>114.56179775280899</v>
      </c>
      <c r="F155" s="193">
        <f>'2 уровень'!G252</f>
        <v>4956.8209999999999</v>
      </c>
      <c r="G155" s="193">
        <f>'2 уровень'!H252</f>
        <v>3304.55</v>
      </c>
      <c r="H155" s="62">
        <f>'2 уровень'!I252</f>
        <v>3681.7320500000001</v>
      </c>
      <c r="I155" s="193">
        <f>'2 уровень'!J252</f>
        <v>111.41402157631144</v>
      </c>
      <c r="J155" s="103"/>
      <c r="L155" s="727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  <c r="AJ155" s="45"/>
      <c r="AK155" s="45"/>
      <c r="AL155" s="45"/>
      <c r="AM155" s="45"/>
      <c r="AN155" s="45"/>
      <c r="AO155" s="45"/>
      <c r="AP155" s="45"/>
      <c r="AQ155" s="45"/>
      <c r="AR155" s="45"/>
      <c r="AS155" s="45"/>
      <c r="AT155" s="45"/>
      <c r="AU155" s="45"/>
      <c r="AV155" s="45"/>
      <c r="AW155" s="45"/>
      <c r="AX155" s="45"/>
      <c r="AY155" s="45"/>
      <c r="AZ155" s="45"/>
      <c r="BA155" s="45"/>
      <c r="BB155" s="45"/>
      <c r="BC155" s="45"/>
      <c r="BD155" s="45"/>
      <c r="BE155" s="45"/>
      <c r="BF155" s="45"/>
      <c r="BG155" s="45"/>
      <c r="BH155" s="45"/>
      <c r="BI155" s="45"/>
      <c r="BJ155" s="45"/>
      <c r="BK155" s="45"/>
      <c r="BL155" s="45"/>
      <c r="BM155" s="45"/>
      <c r="BN155" s="45"/>
      <c r="BO155" s="45"/>
      <c r="BP155" s="45"/>
      <c r="BQ155" s="45"/>
      <c r="BR155" s="45"/>
      <c r="BS155" s="45"/>
      <c r="BT155" s="45"/>
      <c r="BU155" s="45"/>
      <c r="BV155" s="45"/>
      <c r="BW155" s="45"/>
      <c r="BX155" s="45"/>
      <c r="BY155" s="45"/>
      <c r="BZ155" s="45"/>
      <c r="CA155" s="45"/>
      <c r="CB155" s="45"/>
      <c r="CC155" s="45"/>
      <c r="CD155" s="45"/>
      <c r="CE155" s="45"/>
      <c r="CF155" s="45"/>
      <c r="CG155" s="45"/>
      <c r="CH155" s="45"/>
      <c r="CI155" s="45"/>
      <c r="CJ155" s="45"/>
      <c r="CK155" s="45"/>
      <c r="CL155" s="45"/>
      <c r="CM155" s="45"/>
      <c r="CN155" s="45"/>
      <c r="CO155" s="45"/>
      <c r="CP155" s="45"/>
      <c r="CQ155" s="45"/>
      <c r="CR155" s="45"/>
      <c r="CS155" s="45"/>
      <c r="CT155" s="45"/>
      <c r="CU155" s="45"/>
      <c r="CV155" s="45"/>
      <c r="CW155" s="45"/>
      <c r="CX155" s="45"/>
      <c r="CY155" s="45"/>
      <c r="CZ155" s="45"/>
      <c r="DA155" s="45"/>
      <c r="DB155" s="45"/>
      <c r="DC155" s="45"/>
      <c r="DD155" s="45"/>
      <c r="DE155" s="45"/>
      <c r="DF155" s="45"/>
      <c r="DG155" s="45"/>
      <c r="DH155" s="45"/>
      <c r="DI155" s="45"/>
      <c r="DJ155" s="45"/>
      <c r="DK155" s="45"/>
      <c r="DL155" s="45"/>
      <c r="DM155" s="45"/>
      <c r="DN155" s="45"/>
      <c r="DO155" s="45"/>
      <c r="DP155" s="45"/>
      <c r="DQ155" s="45"/>
      <c r="DR155" s="45"/>
      <c r="DS155" s="45"/>
      <c r="DT155" s="45"/>
      <c r="DU155" s="45"/>
      <c r="DV155" s="45"/>
      <c r="DW155" s="45"/>
      <c r="DX155" s="45"/>
      <c r="DY155" s="45"/>
      <c r="DZ155" s="45"/>
      <c r="EA155" s="45"/>
      <c r="EB155" s="45"/>
      <c r="EC155" s="45"/>
      <c r="ED155" s="45"/>
      <c r="EE155" s="45"/>
      <c r="EF155" s="45"/>
      <c r="EG155" s="45"/>
      <c r="EH155" s="45"/>
      <c r="EI155" s="45"/>
      <c r="EJ155" s="45"/>
      <c r="EK155" s="45"/>
      <c r="EL155" s="45"/>
      <c r="EM155" s="45"/>
      <c r="EN155" s="45"/>
      <c r="EO155" s="45"/>
      <c r="EP155" s="45"/>
      <c r="EQ155" s="45"/>
      <c r="ER155" s="45"/>
      <c r="ES155" s="45"/>
      <c r="ET155" s="45"/>
      <c r="EU155" s="45"/>
      <c r="EV155" s="45"/>
      <c r="EW155" s="45"/>
      <c r="EX155" s="45"/>
      <c r="EY155" s="45"/>
      <c r="EZ155" s="45"/>
      <c r="FA155" s="45"/>
      <c r="FB155" s="45"/>
      <c r="FC155" s="45"/>
      <c r="FD155" s="45"/>
      <c r="FE155" s="45"/>
      <c r="FF155" s="45"/>
      <c r="FG155" s="45"/>
      <c r="FH155" s="45"/>
      <c r="FI155" s="45"/>
      <c r="FJ155" s="45"/>
      <c r="FK155" s="45"/>
      <c r="FL155" s="45"/>
      <c r="FM155" s="45"/>
      <c r="FN155" s="45"/>
      <c r="FO155" s="45"/>
      <c r="FP155" s="45"/>
      <c r="FQ155" s="45"/>
      <c r="FR155" s="45"/>
      <c r="FS155" s="45"/>
      <c r="FT155" s="45"/>
      <c r="FU155" s="45"/>
      <c r="FV155" s="45"/>
      <c r="FW155" s="45"/>
      <c r="FX155" s="45"/>
      <c r="FY155" s="45"/>
      <c r="FZ155" s="45"/>
      <c r="GA155" s="45"/>
      <c r="GB155" s="45"/>
      <c r="GC155" s="45"/>
    </row>
    <row r="156" spans="1:185" ht="30" x14ac:dyDescent="0.25">
      <c r="A156" s="116" t="s">
        <v>80</v>
      </c>
      <c r="B156" s="251">
        <f>'2 уровень'!C253</f>
        <v>1001</v>
      </c>
      <c r="C156" s="251">
        <f>'2 уровень'!D253</f>
        <v>667</v>
      </c>
      <c r="D156" s="49">
        <f>'2 уровень'!E253</f>
        <v>831</v>
      </c>
      <c r="E156" s="252">
        <f>'2 уровень'!F253</f>
        <v>124.58770614692654</v>
      </c>
      <c r="F156" s="193">
        <f>'2 уровень'!G253</f>
        <v>1794.88354</v>
      </c>
      <c r="G156" s="193">
        <f>'2 уровень'!H253</f>
        <v>1196.5899999999999</v>
      </c>
      <c r="H156" s="62">
        <f>'2 уровень'!I253</f>
        <v>1439.21676</v>
      </c>
      <c r="I156" s="193">
        <f>'2 уровень'!J253</f>
        <v>120.27651576563403</v>
      </c>
      <c r="J156" s="103"/>
      <c r="L156" s="727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  <c r="AJ156" s="45"/>
      <c r="AK156" s="45"/>
      <c r="AL156" s="45"/>
      <c r="AM156" s="45"/>
      <c r="AN156" s="45"/>
      <c r="AO156" s="45"/>
      <c r="AP156" s="45"/>
      <c r="AQ156" s="45"/>
      <c r="AR156" s="45"/>
      <c r="AS156" s="45"/>
      <c r="AT156" s="45"/>
      <c r="AU156" s="45"/>
      <c r="AV156" s="45"/>
      <c r="AW156" s="45"/>
      <c r="AX156" s="45"/>
      <c r="AY156" s="45"/>
      <c r="AZ156" s="45"/>
      <c r="BA156" s="45"/>
      <c r="BB156" s="45"/>
      <c r="BC156" s="45"/>
      <c r="BD156" s="45"/>
      <c r="BE156" s="45"/>
      <c r="BF156" s="45"/>
      <c r="BG156" s="45"/>
      <c r="BH156" s="45"/>
      <c r="BI156" s="45"/>
      <c r="BJ156" s="45"/>
      <c r="BK156" s="45"/>
      <c r="BL156" s="45"/>
      <c r="BM156" s="45"/>
      <c r="BN156" s="45"/>
      <c r="BO156" s="45"/>
      <c r="BP156" s="45"/>
      <c r="BQ156" s="45"/>
      <c r="BR156" s="45"/>
      <c r="BS156" s="45"/>
      <c r="BT156" s="45"/>
      <c r="BU156" s="45"/>
      <c r="BV156" s="45"/>
      <c r="BW156" s="45"/>
      <c r="BX156" s="45"/>
      <c r="BY156" s="45"/>
      <c r="BZ156" s="45"/>
      <c r="CA156" s="45"/>
      <c r="CB156" s="45"/>
      <c r="CC156" s="45"/>
      <c r="CD156" s="45"/>
      <c r="CE156" s="45"/>
      <c r="CF156" s="45"/>
      <c r="CG156" s="45"/>
      <c r="CH156" s="45"/>
      <c r="CI156" s="45"/>
      <c r="CJ156" s="45"/>
      <c r="CK156" s="45"/>
      <c r="CL156" s="45"/>
      <c r="CM156" s="45"/>
      <c r="CN156" s="45"/>
      <c r="CO156" s="45"/>
      <c r="CP156" s="45"/>
      <c r="CQ156" s="45"/>
      <c r="CR156" s="45"/>
      <c r="CS156" s="45"/>
      <c r="CT156" s="45"/>
      <c r="CU156" s="45"/>
      <c r="CV156" s="45"/>
      <c r="CW156" s="45"/>
      <c r="CX156" s="45"/>
      <c r="CY156" s="45"/>
      <c r="CZ156" s="45"/>
      <c r="DA156" s="45"/>
      <c r="DB156" s="45"/>
      <c r="DC156" s="45"/>
      <c r="DD156" s="45"/>
      <c r="DE156" s="45"/>
      <c r="DF156" s="45"/>
      <c r="DG156" s="45"/>
      <c r="DH156" s="45"/>
      <c r="DI156" s="45"/>
      <c r="DJ156" s="45"/>
      <c r="DK156" s="45"/>
      <c r="DL156" s="45"/>
      <c r="DM156" s="45"/>
      <c r="DN156" s="45"/>
      <c r="DO156" s="45"/>
      <c r="DP156" s="45"/>
      <c r="DQ156" s="45"/>
      <c r="DR156" s="45"/>
      <c r="DS156" s="45"/>
      <c r="DT156" s="45"/>
      <c r="DU156" s="45"/>
      <c r="DV156" s="45"/>
      <c r="DW156" s="45"/>
      <c r="DX156" s="45"/>
      <c r="DY156" s="45"/>
      <c r="DZ156" s="45"/>
      <c r="EA156" s="45"/>
      <c r="EB156" s="45"/>
      <c r="EC156" s="45"/>
      <c r="ED156" s="45"/>
      <c r="EE156" s="45"/>
      <c r="EF156" s="45"/>
      <c r="EG156" s="45"/>
      <c r="EH156" s="45"/>
      <c r="EI156" s="45"/>
      <c r="EJ156" s="45"/>
      <c r="EK156" s="45"/>
      <c r="EL156" s="45"/>
      <c r="EM156" s="45"/>
      <c r="EN156" s="45"/>
      <c r="EO156" s="45"/>
      <c r="EP156" s="45"/>
      <c r="EQ156" s="45"/>
      <c r="ER156" s="45"/>
      <c r="ES156" s="45"/>
      <c r="ET156" s="45"/>
      <c r="EU156" s="45"/>
      <c r="EV156" s="45"/>
      <c r="EW156" s="45"/>
      <c r="EX156" s="45"/>
      <c r="EY156" s="45"/>
      <c r="EZ156" s="45"/>
      <c r="FA156" s="45"/>
      <c r="FB156" s="45"/>
      <c r="FC156" s="45"/>
      <c r="FD156" s="45"/>
      <c r="FE156" s="45"/>
      <c r="FF156" s="45"/>
      <c r="FG156" s="45"/>
      <c r="FH156" s="45"/>
      <c r="FI156" s="45"/>
      <c r="FJ156" s="45"/>
      <c r="FK156" s="45"/>
      <c r="FL156" s="45"/>
      <c r="FM156" s="45"/>
      <c r="FN156" s="45"/>
      <c r="FO156" s="45"/>
      <c r="FP156" s="45"/>
      <c r="FQ156" s="45"/>
      <c r="FR156" s="45"/>
      <c r="FS156" s="45"/>
      <c r="FT156" s="45"/>
      <c r="FU156" s="45"/>
      <c r="FV156" s="45"/>
      <c r="FW156" s="45"/>
      <c r="FX156" s="45"/>
      <c r="FY156" s="45"/>
      <c r="FZ156" s="45"/>
      <c r="GA156" s="45"/>
      <c r="GB156" s="45"/>
      <c r="GC156" s="45"/>
    </row>
    <row r="157" spans="1:185" ht="45" x14ac:dyDescent="0.25">
      <c r="A157" s="116" t="s">
        <v>110</v>
      </c>
      <c r="B157" s="251">
        <f>'2 уровень'!C254</f>
        <v>67</v>
      </c>
      <c r="C157" s="251">
        <f>'2 уровень'!D254</f>
        <v>45</v>
      </c>
      <c r="D157" s="49">
        <f>'2 уровень'!E254</f>
        <v>16</v>
      </c>
      <c r="E157" s="252">
        <f>'2 уровень'!F254</f>
        <v>35.555555555555557</v>
      </c>
      <c r="F157" s="193">
        <f>'2 уровень'!G254</f>
        <v>439.65935999999999</v>
      </c>
      <c r="G157" s="193">
        <f>'2 уровень'!H254</f>
        <v>293.11</v>
      </c>
      <c r="H157" s="62">
        <f>'2 уровень'!I254</f>
        <v>104.99328</v>
      </c>
      <c r="I157" s="193">
        <f>'2 уровень'!J254</f>
        <v>35.820436013783223</v>
      </c>
      <c r="J157" s="103"/>
      <c r="L157" s="727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  <c r="AJ157" s="45"/>
      <c r="AK157" s="45"/>
      <c r="AL157" s="45"/>
      <c r="AM157" s="45"/>
      <c r="AN157" s="45"/>
      <c r="AO157" s="45"/>
      <c r="AP157" s="45"/>
      <c r="AQ157" s="45"/>
      <c r="AR157" s="45"/>
      <c r="AS157" s="45"/>
      <c r="AT157" s="45"/>
      <c r="AU157" s="45"/>
      <c r="AV157" s="45"/>
      <c r="AW157" s="45"/>
      <c r="AX157" s="45"/>
      <c r="AY157" s="45"/>
      <c r="AZ157" s="45"/>
      <c r="BA157" s="45"/>
      <c r="BB157" s="45"/>
      <c r="BC157" s="45"/>
      <c r="BD157" s="45"/>
      <c r="BE157" s="45"/>
      <c r="BF157" s="45"/>
      <c r="BG157" s="45"/>
      <c r="BH157" s="45"/>
      <c r="BI157" s="45"/>
      <c r="BJ157" s="45"/>
      <c r="BK157" s="45"/>
      <c r="BL157" s="45"/>
      <c r="BM157" s="45"/>
      <c r="BN157" s="45"/>
      <c r="BO157" s="45"/>
      <c r="BP157" s="45"/>
      <c r="BQ157" s="45"/>
      <c r="BR157" s="45"/>
      <c r="BS157" s="45"/>
      <c r="BT157" s="45"/>
      <c r="BU157" s="45"/>
      <c r="BV157" s="45"/>
      <c r="BW157" s="45"/>
      <c r="BX157" s="45"/>
      <c r="BY157" s="45"/>
      <c r="BZ157" s="45"/>
      <c r="CA157" s="45"/>
      <c r="CB157" s="45"/>
      <c r="CC157" s="45"/>
      <c r="CD157" s="45"/>
      <c r="CE157" s="45"/>
      <c r="CF157" s="45"/>
      <c r="CG157" s="45"/>
      <c r="CH157" s="45"/>
      <c r="CI157" s="45"/>
      <c r="CJ157" s="45"/>
      <c r="CK157" s="45"/>
      <c r="CL157" s="45"/>
      <c r="CM157" s="45"/>
      <c r="CN157" s="45"/>
      <c r="CO157" s="45"/>
      <c r="CP157" s="45"/>
      <c r="CQ157" s="45"/>
      <c r="CR157" s="45"/>
      <c r="CS157" s="45"/>
      <c r="CT157" s="45"/>
      <c r="CU157" s="45"/>
      <c r="CV157" s="45"/>
      <c r="CW157" s="45"/>
      <c r="CX157" s="45"/>
      <c r="CY157" s="45"/>
      <c r="CZ157" s="45"/>
      <c r="DA157" s="45"/>
      <c r="DB157" s="45"/>
      <c r="DC157" s="45"/>
      <c r="DD157" s="45"/>
      <c r="DE157" s="45"/>
      <c r="DF157" s="45"/>
      <c r="DG157" s="45"/>
      <c r="DH157" s="45"/>
      <c r="DI157" s="45"/>
      <c r="DJ157" s="45"/>
      <c r="DK157" s="45"/>
      <c r="DL157" s="45"/>
      <c r="DM157" s="45"/>
      <c r="DN157" s="45"/>
      <c r="DO157" s="45"/>
      <c r="DP157" s="45"/>
      <c r="DQ157" s="45"/>
      <c r="DR157" s="45"/>
      <c r="DS157" s="45"/>
      <c r="DT157" s="45"/>
      <c r="DU157" s="45"/>
      <c r="DV157" s="45"/>
      <c r="DW157" s="45"/>
      <c r="DX157" s="45"/>
      <c r="DY157" s="45"/>
      <c r="DZ157" s="45"/>
      <c r="EA157" s="45"/>
      <c r="EB157" s="45"/>
      <c r="EC157" s="45"/>
      <c r="ED157" s="45"/>
      <c r="EE157" s="45"/>
      <c r="EF157" s="45"/>
      <c r="EG157" s="45"/>
      <c r="EH157" s="45"/>
      <c r="EI157" s="45"/>
      <c r="EJ157" s="45"/>
      <c r="EK157" s="45"/>
      <c r="EL157" s="45"/>
      <c r="EM157" s="45"/>
      <c r="EN157" s="45"/>
      <c r="EO157" s="45"/>
      <c r="EP157" s="45"/>
      <c r="EQ157" s="45"/>
      <c r="ER157" s="45"/>
      <c r="ES157" s="45"/>
      <c r="ET157" s="45"/>
      <c r="EU157" s="45"/>
      <c r="EV157" s="45"/>
      <c r="EW157" s="45"/>
      <c r="EX157" s="45"/>
      <c r="EY157" s="45"/>
      <c r="EZ157" s="45"/>
      <c r="FA157" s="45"/>
      <c r="FB157" s="45"/>
      <c r="FC157" s="45"/>
      <c r="FD157" s="45"/>
      <c r="FE157" s="45"/>
      <c r="FF157" s="45"/>
      <c r="FG157" s="45"/>
      <c r="FH157" s="45"/>
      <c r="FI157" s="45"/>
      <c r="FJ157" s="45"/>
      <c r="FK157" s="45"/>
      <c r="FL157" s="45"/>
      <c r="FM157" s="45"/>
      <c r="FN157" s="45"/>
      <c r="FO157" s="45"/>
      <c r="FP157" s="45"/>
      <c r="FQ157" s="45"/>
      <c r="FR157" s="45"/>
      <c r="FS157" s="45"/>
      <c r="FT157" s="45"/>
      <c r="FU157" s="45"/>
      <c r="FV157" s="45"/>
      <c r="FW157" s="45"/>
      <c r="FX157" s="45"/>
      <c r="FY157" s="45"/>
      <c r="FZ157" s="45"/>
      <c r="GA157" s="45"/>
      <c r="GB157" s="45"/>
      <c r="GC157" s="45"/>
    </row>
    <row r="158" spans="1:185" ht="30" x14ac:dyDescent="0.25">
      <c r="A158" s="116" t="s">
        <v>111</v>
      </c>
      <c r="B158" s="251">
        <f>'2 уровень'!C255</f>
        <v>140</v>
      </c>
      <c r="C158" s="251">
        <f>'2 уровень'!D255</f>
        <v>93</v>
      </c>
      <c r="D158" s="49">
        <f>'2 уровень'!E255</f>
        <v>101</v>
      </c>
      <c r="E158" s="252">
        <f>'2 уровень'!F255</f>
        <v>108.6021505376344</v>
      </c>
      <c r="F158" s="193">
        <f>'2 уровень'!G255</f>
        <v>918.69119999999998</v>
      </c>
      <c r="G158" s="193">
        <f>'2 уровень'!H255</f>
        <v>612.46</v>
      </c>
      <c r="H158" s="62">
        <f>'2 уровень'!I255</f>
        <v>649.64592000000005</v>
      </c>
      <c r="I158" s="193">
        <f>'2 уровень'!J255</f>
        <v>106.07156712275088</v>
      </c>
      <c r="J158" s="103"/>
      <c r="L158" s="727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  <c r="AJ158" s="45"/>
      <c r="AK158" s="45"/>
      <c r="AL158" s="45"/>
      <c r="AM158" s="45"/>
      <c r="AN158" s="45"/>
      <c r="AO158" s="45"/>
      <c r="AP158" s="45"/>
      <c r="AQ158" s="45"/>
      <c r="AR158" s="45"/>
      <c r="AS158" s="45"/>
      <c r="AT158" s="45"/>
      <c r="AU158" s="45"/>
      <c r="AV158" s="45"/>
      <c r="AW158" s="45"/>
      <c r="AX158" s="45"/>
      <c r="AY158" s="45"/>
      <c r="AZ158" s="45"/>
      <c r="BA158" s="45"/>
      <c r="BB158" s="45"/>
      <c r="BC158" s="45"/>
      <c r="BD158" s="45"/>
      <c r="BE158" s="45"/>
      <c r="BF158" s="45"/>
      <c r="BG158" s="45"/>
      <c r="BH158" s="45"/>
      <c r="BI158" s="45"/>
      <c r="BJ158" s="45"/>
      <c r="BK158" s="45"/>
      <c r="BL158" s="45"/>
      <c r="BM158" s="45"/>
      <c r="BN158" s="45"/>
      <c r="BO158" s="45"/>
      <c r="BP158" s="45"/>
      <c r="BQ158" s="45"/>
      <c r="BR158" s="45"/>
      <c r="BS158" s="45"/>
      <c r="BT158" s="45"/>
      <c r="BU158" s="45"/>
      <c r="BV158" s="45"/>
      <c r="BW158" s="45"/>
      <c r="BX158" s="45"/>
      <c r="BY158" s="45"/>
      <c r="BZ158" s="45"/>
      <c r="CA158" s="45"/>
      <c r="CB158" s="45"/>
      <c r="CC158" s="45"/>
      <c r="CD158" s="45"/>
      <c r="CE158" s="45"/>
      <c r="CF158" s="45"/>
      <c r="CG158" s="45"/>
      <c r="CH158" s="45"/>
      <c r="CI158" s="45"/>
      <c r="CJ158" s="45"/>
      <c r="CK158" s="45"/>
      <c r="CL158" s="45"/>
      <c r="CM158" s="45"/>
      <c r="CN158" s="45"/>
      <c r="CO158" s="45"/>
      <c r="CP158" s="45"/>
      <c r="CQ158" s="45"/>
      <c r="CR158" s="45"/>
      <c r="CS158" s="45"/>
      <c r="CT158" s="45"/>
      <c r="CU158" s="45"/>
      <c r="CV158" s="45"/>
      <c r="CW158" s="45"/>
      <c r="CX158" s="45"/>
      <c r="CY158" s="45"/>
      <c r="CZ158" s="45"/>
      <c r="DA158" s="45"/>
      <c r="DB158" s="45"/>
      <c r="DC158" s="45"/>
      <c r="DD158" s="45"/>
      <c r="DE158" s="45"/>
      <c r="DF158" s="45"/>
      <c r="DG158" s="45"/>
      <c r="DH158" s="45"/>
      <c r="DI158" s="45"/>
      <c r="DJ158" s="45"/>
      <c r="DK158" s="45"/>
      <c r="DL158" s="45"/>
      <c r="DM158" s="45"/>
      <c r="DN158" s="45"/>
      <c r="DO158" s="45"/>
      <c r="DP158" s="45"/>
      <c r="DQ158" s="45"/>
      <c r="DR158" s="45"/>
      <c r="DS158" s="45"/>
      <c r="DT158" s="45"/>
      <c r="DU158" s="45"/>
      <c r="DV158" s="45"/>
      <c r="DW158" s="45"/>
      <c r="DX158" s="45"/>
      <c r="DY158" s="45"/>
      <c r="DZ158" s="45"/>
      <c r="EA158" s="45"/>
      <c r="EB158" s="45"/>
      <c r="EC158" s="45"/>
      <c r="ED158" s="45"/>
      <c r="EE158" s="45"/>
      <c r="EF158" s="45"/>
      <c r="EG158" s="45"/>
      <c r="EH158" s="45"/>
      <c r="EI158" s="45"/>
      <c r="EJ158" s="45"/>
      <c r="EK158" s="45"/>
      <c r="EL158" s="45"/>
      <c r="EM158" s="45"/>
      <c r="EN158" s="45"/>
      <c r="EO158" s="45"/>
      <c r="EP158" s="45"/>
      <c r="EQ158" s="45"/>
      <c r="ER158" s="45"/>
      <c r="ES158" s="45"/>
      <c r="ET158" s="45"/>
      <c r="EU158" s="45"/>
      <c r="EV158" s="45"/>
      <c r="EW158" s="45"/>
      <c r="EX158" s="45"/>
      <c r="EY158" s="45"/>
      <c r="EZ158" s="45"/>
      <c r="FA158" s="45"/>
      <c r="FB158" s="45"/>
      <c r="FC158" s="45"/>
      <c r="FD158" s="45"/>
      <c r="FE158" s="45"/>
      <c r="FF158" s="45"/>
      <c r="FG158" s="45"/>
      <c r="FH158" s="45"/>
      <c r="FI158" s="45"/>
      <c r="FJ158" s="45"/>
      <c r="FK158" s="45"/>
      <c r="FL158" s="45"/>
      <c r="FM158" s="45"/>
      <c r="FN158" s="45"/>
      <c r="FO158" s="45"/>
      <c r="FP158" s="45"/>
      <c r="FQ158" s="45"/>
      <c r="FR158" s="45"/>
      <c r="FS158" s="45"/>
      <c r="FT158" s="45"/>
      <c r="FU158" s="45"/>
      <c r="FV158" s="45"/>
      <c r="FW158" s="45"/>
      <c r="FX158" s="45"/>
      <c r="FY158" s="45"/>
      <c r="FZ158" s="45"/>
      <c r="GA158" s="45"/>
      <c r="GB158" s="45"/>
      <c r="GC158" s="45"/>
    </row>
    <row r="159" spans="1:185" ht="30" x14ac:dyDescent="0.25">
      <c r="A159" s="542" t="s">
        <v>112</v>
      </c>
      <c r="B159" s="539">
        <f>'2 уровень'!C256</f>
        <v>8964</v>
      </c>
      <c r="C159" s="539">
        <f>'2 уровень'!D256</f>
        <v>5977</v>
      </c>
      <c r="D159" s="539">
        <f>'2 уровень'!E256</f>
        <v>5608</v>
      </c>
      <c r="E159" s="540">
        <f>'2 уровень'!F256</f>
        <v>93.826334281412088</v>
      </c>
      <c r="F159" s="543">
        <f>'2 уровень'!G256</f>
        <v>20554.01211</v>
      </c>
      <c r="G159" s="543">
        <f>'2 уровень'!H256</f>
        <v>13702.67</v>
      </c>
      <c r="H159" s="543">
        <f>'2 уровень'!I256</f>
        <v>14329.505060000001</v>
      </c>
      <c r="I159" s="543">
        <f>'2 уровень'!J256</f>
        <v>104.57454685838601</v>
      </c>
      <c r="J159" s="103"/>
      <c r="L159" s="727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  <c r="AJ159" s="45"/>
      <c r="AK159" s="45"/>
      <c r="AL159" s="45"/>
      <c r="AM159" s="45"/>
      <c r="AN159" s="45"/>
      <c r="AO159" s="45"/>
      <c r="AP159" s="45"/>
      <c r="AQ159" s="45"/>
      <c r="AR159" s="45"/>
      <c r="AS159" s="45"/>
      <c r="AT159" s="45"/>
      <c r="AU159" s="45"/>
      <c r="AV159" s="45"/>
      <c r="AW159" s="45"/>
      <c r="AX159" s="45"/>
      <c r="AY159" s="45"/>
      <c r="AZ159" s="45"/>
      <c r="BA159" s="45"/>
      <c r="BB159" s="45"/>
      <c r="BC159" s="45"/>
      <c r="BD159" s="45"/>
      <c r="BE159" s="45"/>
      <c r="BF159" s="45"/>
      <c r="BG159" s="45"/>
      <c r="BH159" s="45"/>
      <c r="BI159" s="45"/>
      <c r="BJ159" s="45"/>
      <c r="BK159" s="45"/>
      <c r="BL159" s="45"/>
      <c r="BM159" s="45"/>
      <c r="BN159" s="45"/>
      <c r="BO159" s="45"/>
      <c r="BP159" s="45"/>
      <c r="BQ159" s="45"/>
      <c r="BR159" s="45"/>
      <c r="BS159" s="45"/>
      <c r="BT159" s="45"/>
      <c r="BU159" s="45"/>
      <c r="BV159" s="45"/>
      <c r="BW159" s="45"/>
      <c r="BX159" s="45"/>
      <c r="BY159" s="45"/>
      <c r="BZ159" s="45"/>
      <c r="CA159" s="45"/>
      <c r="CB159" s="45"/>
      <c r="CC159" s="45"/>
      <c r="CD159" s="45"/>
      <c r="CE159" s="45"/>
      <c r="CF159" s="45"/>
      <c r="CG159" s="45"/>
      <c r="CH159" s="45"/>
      <c r="CI159" s="45"/>
      <c r="CJ159" s="45"/>
      <c r="CK159" s="45"/>
      <c r="CL159" s="45"/>
      <c r="CM159" s="45"/>
      <c r="CN159" s="45"/>
      <c r="CO159" s="45"/>
      <c r="CP159" s="45"/>
      <c r="CQ159" s="45"/>
      <c r="CR159" s="45"/>
      <c r="CS159" s="45"/>
      <c r="CT159" s="45"/>
      <c r="CU159" s="45"/>
      <c r="CV159" s="45"/>
      <c r="CW159" s="45"/>
      <c r="CX159" s="45"/>
      <c r="CY159" s="45"/>
      <c r="CZ159" s="45"/>
      <c r="DA159" s="45"/>
      <c r="DB159" s="45"/>
      <c r="DC159" s="45"/>
      <c r="DD159" s="45"/>
      <c r="DE159" s="45"/>
      <c r="DF159" s="45"/>
      <c r="DG159" s="45"/>
      <c r="DH159" s="45"/>
      <c r="DI159" s="45"/>
      <c r="DJ159" s="45"/>
      <c r="DK159" s="45"/>
      <c r="DL159" s="45"/>
      <c r="DM159" s="45"/>
      <c r="DN159" s="45"/>
      <c r="DO159" s="45"/>
      <c r="DP159" s="45"/>
      <c r="DQ159" s="45"/>
      <c r="DR159" s="45"/>
      <c r="DS159" s="45"/>
      <c r="DT159" s="45"/>
      <c r="DU159" s="45"/>
      <c r="DV159" s="45"/>
      <c r="DW159" s="45"/>
      <c r="DX159" s="45"/>
      <c r="DY159" s="45"/>
      <c r="DZ159" s="45"/>
      <c r="EA159" s="45"/>
      <c r="EB159" s="45"/>
      <c r="EC159" s="45"/>
      <c r="ED159" s="45"/>
      <c r="EE159" s="45"/>
      <c r="EF159" s="45"/>
      <c r="EG159" s="45"/>
      <c r="EH159" s="45"/>
      <c r="EI159" s="45"/>
      <c r="EJ159" s="45"/>
      <c r="EK159" s="45"/>
      <c r="EL159" s="45"/>
      <c r="EM159" s="45"/>
      <c r="EN159" s="45"/>
      <c r="EO159" s="45"/>
      <c r="EP159" s="45"/>
      <c r="EQ159" s="45"/>
      <c r="ER159" s="45"/>
      <c r="ES159" s="45"/>
      <c r="ET159" s="45"/>
      <c r="EU159" s="45"/>
      <c r="EV159" s="45"/>
      <c r="EW159" s="45"/>
      <c r="EX159" s="45"/>
      <c r="EY159" s="45"/>
      <c r="EZ159" s="45"/>
      <c r="FA159" s="45"/>
      <c r="FB159" s="45"/>
      <c r="FC159" s="45"/>
      <c r="FD159" s="45"/>
      <c r="FE159" s="45"/>
      <c r="FF159" s="45"/>
      <c r="FG159" s="45"/>
      <c r="FH159" s="45"/>
      <c r="FI159" s="45"/>
      <c r="FJ159" s="45"/>
      <c r="FK159" s="45"/>
      <c r="FL159" s="45"/>
      <c r="FM159" s="45"/>
      <c r="FN159" s="45"/>
      <c r="FO159" s="45"/>
      <c r="FP159" s="45"/>
      <c r="FQ159" s="45"/>
      <c r="FR159" s="45"/>
      <c r="FS159" s="45"/>
      <c r="FT159" s="45"/>
      <c r="FU159" s="45"/>
      <c r="FV159" s="45"/>
      <c r="FW159" s="45"/>
      <c r="FX159" s="45"/>
      <c r="FY159" s="45"/>
      <c r="FZ159" s="45"/>
      <c r="GA159" s="45"/>
      <c r="GB159" s="45"/>
      <c r="GC159" s="45"/>
    </row>
    <row r="160" spans="1:185" ht="30" x14ac:dyDescent="0.25">
      <c r="A160" s="116" t="s">
        <v>108</v>
      </c>
      <c r="B160" s="251">
        <f>'2 уровень'!C257</f>
        <v>700</v>
      </c>
      <c r="C160" s="251">
        <f>'2 уровень'!D257</f>
        <v>467</v>
      </c>
      <c r="D160" s="49">
        <f>'2 уровень'!E257</f>
        <v>667</v>
      </c>
      <c r="E160" s="252">
        <f>'2 уровень'!F257</f>
        <v>142.82655246252676</v>
      </c>
      <c r="F160" s="193">
        <f>'2 уровень'!G257</f>
        <v>1484.357</v>
      </c>
      <c r="G160" s="193">
        <f>'2 уровень'!H257</f>
        <v>989.57</v>
      </c>
      <c r="H160" s="62">
        <f>'2 уровень'!I257</f>
        <v>1406.5152700000001</v>
      </c>
      <c r="I160" s="193">
        <f>'2 уровень'!J257</f>
        <v>142.13398445789588</v>
      </c>
      <c r="J160" s="103"/>
      <c r="L160" s="727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  <c r="AJ160" s="45"/>
      <c r="AK160" s="45"/>
      <c r="AL160" s="45"/>
      <c r="AM160" s="45"/>
      <c r="AN160" s="45"/>
      <c r="AO160" s="45"/>
      <c r="AP160" s="45"/>
      <c r="AQ160" s="45"/>
      <c r="AR160" s="45"/>
      <c r="AS160" s="45"/>
      <c r="AT160" s="45"/>
      <c r="AU160" s="45"/>
      <c r="AV160" s="45"/>
      <c r="AW160" s="45"/>
      <c r="AX160" s="45"/>
      <c r="AY160" s="45"/>
      <c r="AZ160" s="45"/>
      <c r="BA160" s="45"/>
      <c r="BB160" s="45"/>
      <c r="BC160" s="45"/>
      <c r="BD160" s="45"/>
      <c r="BE160" s="45"/>
      <c r="BF160" s="45"/>
      <c r="BG160" s="45"/>
      <c r="BH160" s="45"/>
      <c r="BI160" s="45"/>
      <c r="BJ160" s="45"/>
      <c r="BK160" s="45"/>
      <c r="BL160" s="45"/>
      <c r="BM160" s="45"/>
      <c r="BN160" s="45"/>
      <c r="BO160" s="45"/>
      <c r="BP160" s="45"/>
      <c r="BQ160" s="45"/>
      <c r="BR160" s="45"/>
      <c r="BS160" s="45"/>
      <c r="BT160" s="45"/>
      <c r="BU160" s="45"/>
      <c r="BV160" s="45"/>
      <c r="BW160" s="45"/>
      <c r="BX160" s="45"/>
      <c r="BY160" s="45"/>
      <c r="BZ160" s="45"/>
      <c r="CA160" s="45"/>
      <c r="CB160" s="45"/>
      <c r="CC160" s="45"/>
      <c r="CD160" s="45"/>
      <c r="CE160" s="45"/>
      <c r="CF160" s="45"/>
      <c r="CG160" s="45"/>
      <c r="CH160" s="45"/>
      <c r="CI160" s="45"/>
      <c r="CJ160" s="45"/>
      <c r="CK160" s="45"/>
      <c r="CL160" s="45"/>
      <c r="CM160" s="45"/>
      <c r="CN160" s="45"/>
      <c r="CO160" s="45"/>
      <c r="CP160" s="45"/>
      <c r="CQ160" s="45"/>
      <c r="CR160" s="45"/>
      <c r="CS160" s="45"/>
      <c r="CT160" s="45"/>
      <c r="CU160" s="45"/>
      <c r="CV160" s="45"/>
      <c r="CW160" s="45"/>
      <c r="CX160" s="45"/>
      <c r="CY160" s="45"/>
      <c r="CZ160" s="45"/>
      <c r="DA160" s="45"/>
      <c r="DB160" s="45"/>
      <c r="DC160" s="45"/>
      <c r="DD160" s="45"/>
      <c r="DE160" s="45"/>
      <c r="DF160" s="45"/>
      <c r="DG160" s="45"/>
      <c r="DH160" s="45"/>
      <c r="DI160" s="45"/>
      <c r="DJ160" s="45"/>
      <c r="DK160" s="45"/>
      <c r="DL160" s="45"/>
      <c r="DM160" s="45"/>
      <c r="DN160" s="45"/>
      <c r="DO160" s="45"/>
      <c r="DP160" s="45"/>
      <c r="DQ160" s="45"/>
      <c r="DR160" s="45"/>
      <c r="DS160" s="45"/>
      <c r="DT160" s="45"/>
      <c r="DU160" s="45"/>
      <c r="DV160" s="45"/>
      <c r="DW160" s="45"/>
      <c r="DX160" s="45"/>
      <c r="DY160" s="45"/>
      <c r="DZ160" s="45"/>
      <c r="EA160" s="45"/>
      <c r="EB160" s="45"/>
      <c r="EC160" s="45"/>
      <c r="ED160" s="45"/>
      <c r="EE160" s="45"/>
      <c r="EF160" s="45"/>
      <c r="EG160" s="45"/>
      <c r="EH160" s="45"/>
      <c r="EI160" s="45"/>
      <c r="EJ160" s="45"/>
      <c r="EK160" s="45"/>
      <c r="EL160" s="45"/>
      <c r="EM160" s="45"/>
      <c r="EN160" s="45"/>
      <c r="EO160" s="45"/>
      <c r="EP160" s="45"/>
      <c r="EQ160" s="45"/>
      <c r="ER160" s="45"/>
      <c r="ES160" s="45"/>
      <c r="ET160" s="45"/>
      <c r="EU160" s="45"/>
      <c r="EV160" s="45"/>
      <c r="EW160" s="45"/>
      <c r="EX160" s="45"/>
      <c r="EY160" s="45"/>
      <c r="EZ160" s="45"/>
      <c r="FA160" s="45"/>
      <c r="FB160" s="45"/>
      <c r="FC160" s="45"/>
      <c r="FD160" s="45"/>
      <c r="FE160" s="45"/>
      <c r="FF160" s="45"/>
      <c r="FG160" s="45"/>
      <c r="FH160" s="45"/>
      <c r="FI160" s="45"/>
      <c r="FJ160" s="45"/>
      <c r="FK160" s="45"/>
      <c r="FL160" s="45"/>
      <c r="FM160" s="45"/>
      <c r="FN160" s="45"/>
      <c r="FO160" s="45"/>
      <c r="FP160" s="45"/>
      <c r="FQ160" s="45"/>
      <c r="FR160" s="45"/>
      <c r="FS160" s="45"/>
      <c r="FT160" s="45"/>
      <c r="FU160" s="45"/>
      <c r="FV160" s="45"/>
      <c r="FW160" s="45"/>
      <c r="FX160" s="45"/>
      <c r="FY160" s="45"/>
      <c r="FZ160" s="45"/>
      <c r="GA160" s="45"/>
      <c r="GB160" s="45"/>
      <c r="GC160" s="45"/>
    </row>
    <row r="161" spans="1:185" ht="60" x14ac:dyDescent="0.25">
      <c r="A161" s="116" t="s">
        <v>81</v>
      </c>
      <c r="B161" s="251">
        <f>'2 уровень'!C258</f>
        <v>6187</v>
      </c>
      <c r="C161" s="251">
        <f>'2 уровень'!D258</f>
        <v>4125</v>
      </c>
      <c r="D161" s="49">
        <f>'2 уровень'!E258</f>
        <v>3383</v>
      </c>
      <c r="E161" s="252">
        <f>'2 уровень'!F258</f>
        <v>82.012121212121215</v>
      </c>
      <c r="F161" s="193">
        <f>'2 уровень'!G258</f>
        <v>17033.862789999999</v>
      </c>
      <c r="G161" s="193">
        <f>'2 уровень'!H258</f>
        <v>11355.91</v>
      </c>
      <c r="H161" s="62">
        <f>'2 уровень'!I258</f>
        <v>11250.880670000002</v>
      </c>
      <c r="I161" s="193">
        <f>'2 уровень'!J258</f>
        <v>99.075113046862839</v>
      </c>
      <c r="J161" s="103"/>
      <c r="L161" s="727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  <c r="AJ161" s="45"/>
      <c r="AK161" s="45"/>
      <c r="AL161" s="45"/>
      <c r="AM161" s="45"/>
      <c r="AN161" s="45"/>
      <c r="AO161" s="45"/>
      <c r="AP161" s="45"/>
      <c r="AQ161" s="45"/>
      <c r="AR161" s="45"/>
      <c r="AS161" s="45"/>
      <c r="AT161" s="45"/>
      <c r="AU161" s="45"/>
      <c r="AV161" s="45"/>
      <c r="AW161" s="45"/>
      <c r="AX161" s="45"/>
      <c r="AY161" s="45"/>
      <c r="AZ161" s="45"/>
      <c r="BA161" s="45"/>
      <c r="BB161" s="45"/>
      <c r="BC161" s="45"/>
      <c r="BD161" s="45"/>
      <c r="BE161" s="45"/>
      <c r="BF161" s="45"/>
      <c r="BG161" s="45"/>
      <c r="BH161" s="45"/>
      <c r="BI161" s="45"/>
      <c r="BJ161" s="45"/>
      <c r="BK161" s="45"/>
      <c r="BL161" s="45"/>
      <c r="BM161" s="45"/>
      <c r="BN161" s="45"/>
      <c r="BO161" s="45"/>
      <c r="BP161" s="45"/>
      <c r="BQ161" s="45"/>
      <c r="BR161" s="45"/>
      <c r="BS161" s="45"/>
      <c r="BT161" s="45"/>
      <c r="BU161" s="45"/>
      <c r="BV161" s="45"/>
      <c r="BW161" s="45"/>
      <c r="BX161" s="45"/>
      <c r="BY161" s="45"/>
      <c r="BZ161" s="45"/>
      <c r="CA161" s="45"/>
      <c r="CB161" s="45"/>
      <c r="CC161" s="45"/>
      <c r="CD161" s="45"/>
      <c r="CE161" s="45"/>
      <c r="CF161" s="45"/>
      <c r="CG161" s="45"/>
      <c r="CH161" s="45"/>
      <c r="CI161" s="45"/>
      <c r="CJ161" s="45"/>
      <c r="CK161" s="45"/>
      <c r="CL161" s="45"/>
      <c r="CM161" s="45"/>
      <c r="CN161" s="45"/>
      <c r="CO161" s="45"/>
      <c r="CP161" s="45"/>
      <c r="CQ161" s="45"/>
      <c r="CR161" s="45"/>
      <c r="CS161" s="45"/>
      <c r="CT161" s="45"/>
      <c r="CU161" s="45"/>
      <c r="CV161" s="45"/>
      <c r="CW161" s="45"/>
      <c r="CX161" s="45"/>
      <c r="CY161" s="45"/>
      <c r="CZ161" s="45"/>
      <c r="DA161" s="45"/>
      <c r="DB161" s="45"/>
      <c r="DC161" s="45"/>
      <c r="DD161" s="45"/>
      <c r="DE161" s="45"/>
      <c r="DF161" s="45"/>
      <c r="DG161" s="45"/>
      <c r="DH161" s="45"/>
      <c r="DI161" s="45"/>
      <c r="DJ161" s="45"/>
      <c r="DK161" s="45"/>
      <c r="DL161" s="45"/>
      <c r="DM161" s="45"/>
      <c r="DN161" s="45"/>
      <c r="DO161" s="45"/>
      <c r="DP161" s="45"/>
      <c r="DQ161" s="45"/>
      <c r="DR161" s="45"/>
      <c r="DS161" s="45"/>
      <c r="DT161" s="45"/>
      <c r="DU161" s="45"/>
      <c r="DV161" s="45"/>
      <c r="DW161" s="45"/>
      <c r="DX161" s="45"/>
      <c r="DY161" s="45"/>
      <c r="DZ161" s="45"/>
      <c r="EA161" s="45"/>
      <c r="EB161" s="45"/>
      <c r="EC161" s="45"/>
      <c r="ED161" s="45"/>
      <c r="EE161" s="45"/>
      <c r="EF161" s="45"/>
      <c r="EG161" s="45"/>
      <c r="EH161" s="45"/>
      <c r="EI161" s="45"/>
      <c r="EJ161" s="45"/>
      <c r="EK161" s="45"/>
      <c r="EL161" s="45"/>
      <c r="EM161" s="45"/>
      <c r="EN161" s="45"/>
      <c r="EO161" s="45"/>
      <c r="EP161" s="45"/>
      <c r="EQ161" s="45"/>
      <c r="ER161" s="45"/>
      <c r="ES161" s="45"/>
      <c r="ET161" s="45"/>
      <c r="EU161" s="45"/>
      <c r="EV161" s="45"/>
      <c r="EW161" s="45"/>
      <c r="EX161" s="45"/>
      <c r="EY161" s="45"/>
      <c r="EZ161" s="45"/>
      <c r="FA161" s="45"/>
      <c r="FB161" s="45"/>
      <c r="FC161" s="45"/>
      <c r="FD161" s="45"/>
      <c r="FE161" s="45"/>
      <c r="FF161" s="45"/>
      <c r="FG161" s="45"/>
      <c r="FH161" s="45"/>
      <c r="FI161" s="45"/>
      <c r="FJ161" s="45"/>
      <c r="FK161" s="45"/>
      <c r="FL161" s="45"/>
      <c r="FM161" s="45"/>
      <c r="FN161" s="45"/>
      <c r="FO161" s="45"/>
      <c r="FP161" s="45"/>
      <c r="FQ161" s="45"/>
      <c r="FR161" s="45"/>
      <c r="FS161" s="45"/>
      <c r="FT161" s="45"/>
      <c r="FU161" s="45"/>
      <c r="FV161" s="45"/>
      <c r="FW161" s="45"/>
      <c r="FX161" s="45"/>
      <c r="FY161" s="45"/>
      <c r="FZ161" s="45"/>
      <c r="GA161" s="45"/>
      <c r="GB161" s="45"/>
      <c r="GC161" s="45"/>
    </row>
    <row r="162" spans="1:185" ht="45" x14ac:dyDescent="0.25">
      <c r="A162" s="116" t="s">
        <v>109</v>
      </c>
      <c r="B162" s="251">
        <f>'2 уровень'!C259</f>
        <v>2077</v>
      </c>
      <c r="C162" s="251">
        <f>'2 уровень'!D259</f>
        <v>1385</v>
      </c>
      <c r="D162" s="49">
        <f>'2 уровень'!E259</f>
        <v>1558</v>
      </c>
      <c r="E162" s="252">
        <f>'2 уровень'!F259</f>
        <v>112.49097472924188</v>
      </c>
      <c r="F162" s="193">
        <f>'2 уровень'!G259</f>
        <v>2035.79232</v>
      </c>
      <c r="G162" s="193">
        <f>'2 уровень'!H259</f>
        <v>1357.19</v>
      </c>
      <c r="H162" s="62">
        <f>'2 уровень'!I259</f>
        <v>1672.1091199999998</v>
      </c>
      <c r="I162" s="193">
        <f>'2 уровень'!J259</f>
        <v>123.20376071147001</v>
      </c>
      <c r="J162" s="103"/>
      <c r="L162" s="727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  <c r="AJ162" s="45"/>
      <c r="AK162" s="45"/>
      <c r="AL162" s="45"/>
      <c r="AM162" s="45"/>
      <c r="AN162" s="45"/>
      <c r="AO162" s="45"/>
      <c r="AP162" s="45"/>
      <c r="AQ162" s="45"/>
      <c r="AR162" s="45"/>
      <c r="AS162" s="45"/>
      <c r="AT162" s="45"/>
      <c r="AU162" s="45"/>
      <c r="AV162" s="45"/>
      <c r="AW162" s="45"/>
      <c r="AX162" s="45"/>
      <c r="AY162" s="45"/>
      <c r="AZ162" s="45"/>
      <c r="BA162" s="45"/>
      <c r="BB162" s="45"/>
      <c r="BC162" s="45"/>
      <c r="BD162" s="45"/>
      <c r="BE162" s="45"/>
      <c r="BF162" s="45"/>
      <c r="BG162" s="45"/>
      <c r="BH162" s="45"/>
      <c r="BI162" s="45"/>
      <c r="BJ162" s="45"/>
      <c r="BK162" s="45"/>
      <c r="BL162" s="45"/>
      <c r="BM162" s="45"/>
      <c r="BN162" s="45"/>
      <c r="BO162" s="45"/>
      <c r="BP162" s="45"/>
      <c r="BQ162" s="45"/>
      <c r="BR162" s="45"/>
      <c r="BS162" s="45"/>
      <c r="BT162" s="45"/>
      <c r="BU162" s="45"/>
      <c r="BV162" s="45"/>
      <c r="BW162" s="45"/>
      <c r="BX162" s="45"/>
      <c r="BY162" s="45"/>
      <c r="BZ162" s="45"/>
      <c r="CA162" s="45"/>
      <c r="CB162" s="45"/>
      <c r="CC162" s="45"/>
      <c r="CD162" s="45"/>
      <c r="CE162" s="45"/>
      <c r="CF162" s="45"/>
      <c r="CG162" s="45"/>
      <c r="CH162" s="45"/>
      <c r="CI162" s="45"/>
      <c r="CJ162" s="45"/>
      <c r="CK162" s="45"/>
      <c r="CL162" s="45"/>
      <c r="CM162" s="45"/>
      <c r="CN162" s="45"/>
      <c r="CO162" s="45"/>
      <c r="CP162" s="45"/>
      <c r="CQ162" s="45"/>
      <c r="CR162" s="45"/>
      <c r="CS162" s="45"/>
      <c r="CT162" s="45"/>
      <c r="CU162" s="45"/>
      <c r="CV162" s="45"/>
      <c r="CW162" s="45"/>
      <c r="CX162" s="45"/>
      <c r="CY162" s="45"/>
      <c r="CZ162" s="45"/>
      <c r="DA162" s="45"/>
      <c r="DB162" s="45"/>
      <c r="DC162" s="45"/>
      <c r="DD162" s="45"/>
      <c r="DE162" s="45"/>
      <c r="DF162" s="45"/>
      <c r="DG162" s="45"/>
      <c r="DH162" s="45"/>
      <c r="DI162" s="45"/>
      <c r="DJ162" s="45"/>
      <c r="DK162" s="45"/>
      <c r="DL162" s="45"/>
      <c r="DM162" s="45"/>
      <c r="DN162" s="45"/>
      <c r="DO162" s="45"/>
      <c r="DP162" s="45"/>
      <c r="DQ162" s="45"/>
      <c r="DR162" s="45"/>
      <c r="DS162" s="45"/>
      <c r="DT162" s="45"/>
      <c r="DU162" s="45"/>
      <c r="DV162" s="45"/>
      <c r="DW162" s="45"/>
      <c r="DX162" s="45"/>
      <c r="DY162" s="45"/>
      <c r="DZ162" s="45"/>
      <c r="EA162" s="45"/>
      <c r="EB162" s="45"/>
      <c r="EC162" s="45"/>
      <c r="ED162" s="45"/>
      <c r="EE162" s="45"/>
      <c r="EF162" s="45"/>
      <c r="EG162" s="45"/>
      <c r="EH162" s="45"/>
      <c r="EI162" s="45"/>
      <c r="EJ162" s="45"/>
      <c r="EK162" s="45"/>
      <c r="EL162" s="45"/>
      <c r="EM162" s="45"/>
      <c r="EN162" s="45"/>
      <c r="EO162" s="45"/>
      <c r="EP162" s="45"/>
      <c r="EQ162" s="45"/>
      <c r="ER162" s="45"/>
      <c r="ES162" s="45"/>
      <c r="ET162" s="45"/>
      <c r="EU162" s="45"/>
      <c r="EV162" s="45"/>
      <c r="EW162" s="45"/>
      <c r="EX162" s="45"/>
      <c r="EY162" s="45"/>
      <c r="EZ162" s="45"/>
      <c r="FA162" s="45"/>
      <c r="FB162" s="45"/>
      <c r="FC162" s="45"/>
      <c r="FD162" s="45"/>
      <c r="FE162" s="45"/>
      <c r="FF162" s="45"/>
      <c r="FG162" s="45"/>
      <c r="FH162" s="45"/>
      <c r="FI162" s="45"/>
      <c r="FJ162" s="45"/>
      <c r="FK162" s="45"/>
      <c r="FL162" s="45"/>
      <c r="FM162" s="45"/>
      <c r="FN162" s="45"/>
      <c r="FO162" s="45"/>
      <c r="FP162" s="45"/>
      <c r="FQ162" s="45"/>
      <c r="FR162" s="45"/>
      <c r="FS162" s="45"/>
      <c r="FT162" s="45"/>
      <c r="FU162" s="45"/>
      <c r="FV162" s="45"/>
      <c r="FW162" s="45"/>
      <c r="FX162" s="45"/>
      <c r="FY162" s="45"/>
      <c r="FZ162" s="45"/>
      <c r="GA162" s="45"/>
      <c r="GB162" s="45"/>
      <c r="GC162" s="45"/>
    </row>
    <row r="163" spans="1:185" ht="30" x14ac:dyDescent="0.25">
      <c r="A163" s="116" t="s">
        <v>123</v>
      </c>
      <c r="B163" s="251">
        <f>'2 уровень'!C260</f>
        <v>9234</v>
      </c>
      <c r="C163" s="251">
        <f>'2 уровень'!D260</f>
        <v>6156</v>
      </c>
      <c r="D163" s="49">
        <f>'2 уровень'!E260</f>
        <v>5701</v>
      </c>
      <c r="E163" s="252">
        <f>'2 уровень'!F260</f>
        <v>92.608836907082519</v>
      </c>
      <c r="F163" s="193">
        <f>'2 уровень'!G260</f>
        <v>8986.7134800000003</v>
      </c>
      <c r="G163" s="193">
        <f>'2 уровень'!H260</f>
        <v>5991.14</v>
      </c>
      <c r="H163" s="62">
        <f>'2 уровень'!I260</f>
        <v>5508.4410600000001</v>
      </c>
      <c r="I163" s="193">
        <f>'2 уровень'!J260</f>
        <v>91.943120341036931</v>
      </c>
      <c r="J163" s="103"/>
      <c r="K163" s="103"/>
      <c r="L163" s="103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  <c r="AJ163" s="45"/>
      <c r="AK163" s="45"/>
      <c r="AL163" s="45"/>
      <c r="AM163" s="45"/>
      <c r="AN163" s="45"/>
      <c r="AO163" s="45"/>
      <c r="AP163" s="45"/>
      <c r="AQ163" s="45"/>
      <c r="AR163" s="45"/>
      <c r="AS163" s="45"/>
      <c r="AT163" s="45"/>
      <c r="AU163" s="45"/>
      <c r="AV163" s="45"/>
      <c r="AW163" s="45"/>
      <c r="AX163" s="45"/>
      <c r="AY163" s="45"/>
      <c r="AZ163" s="45"/>
      <c r="BA163" s="45"/>
      <c r="BB163" s="45"/>
      <c r="BC163" s="45"/>
      <c r="BD163" s="45"/>
      <c r="BE163" s="45"/>
      <c r="BF163" s="45"/>
      <c r="BG163" s="45"/>
      <c r="BH163" s="45"/>
      <c r="BI163" s="45"/>
      <c r="BJ163" s="45"/>
      <c r="BK163" s="45"/>
      <c r="BL163" s="45"/>
      <c r="BM163" s="45"/>
      <c r="BN163" s="45"/>
      <c r="BO163" s="45"/>
      <c r="BP163" s="45"/>
      <c r="BQ163" s="45"/>
      <c r="BR163" s="45"/>
      <c r="BS163" s="45"/>
      <c r="BT163" s="45"/>
      <c r="BU163" s="45"/>
      <c r="BV163" s="45"/>
      <c r="BW163" s="45"/>
      <c r="BX163" s="45"/>
      <c r="BY163" s="45"/>
      <c r="BZ163" s="45"/>
      <c r="CA163" s="45"/>
      <c r="CB163" s="45"/>
      <c r="CC163" s="45"/>
      <c r="CD163" s="45"/>
      <c r="CE163" s="45"/>
      <c r="CF163" s="45"/>
      <c r="CG163" s="45"/>
      <c r="CH163" s="45"/>
      <c r="CI163" s="45"/>
      <c r="CJ163" s="45"/>
      <c r="CK163" s="45"/>
      <c r="CL163" s="45"/>
      <c r="CM163" s="45"/>
      <c r="CN163" s="45"/>
      <c r="CO163" s="45"/>
      <c r="CP163" s="45"/>
      <c r="CQ163" s="45"/>
      <c r="CR163" s="45"/>
      <c r="CS163" s="45"/>
      <c r="CT163" s="45"/>
      <c r="CU163" s="45"/>
      <c r="CV163" s="45"/>
      <c r="CW163" s="45"/>
      <c r="CX163" s="45"/>
      <c r="CY163" s="45"/>
      <c r="CZ163" s="45"/>
      <c r="DA163" s="45"/>
      <c r="DB163" s="45"/>
      <c r="DC163" s="45"/>
      <c r="DD163" s="45"/>
      <c r="DE163" s="45"/>
      <c r="DF163" s="45"/>
      <c r="DG163" s="45"/>
      <c r="DH163" s="45"/>
      <c r="DI163" s="45"/>
      <c r="DJ163" s="45"/>
      <c r="DK163" s="45"/>
      <c r="DL163" s="45"/>
      <c r="DM163" s="45"/>
      <c r="DN163" s="45"/>
      <c r="DO163" s="45"/>
      <c r="DP163" s="45"/>
      <c r="DQ163" s="45"/>
      <c r="DR163" s="45"/>
      <c r="DS163" s="45"/>
      <c r="DT163" s="45"/>
      <c r="DU163" s="45"/>
      <c r="DV163" s="45"/>
      <c r="DW163" s="45"/>
      <c r="DX163" s="45"/>
      <c r="DY163" s="45"/>
      <c r="DZ163" s="45"/>
      <c r="EA163" s="45"/>
      <c r="EB163" s="45"/>
      <c r="EC163" s="45"/>
      <c r="ED163" s="45"/>
      <c r="EE163" s="45"/>
      <c r="EF163" s="45"/>
      <c r="EG163" s="45"/>
      <c r="EH163" s="45"/>
      <c r="EI163" s="45"/>
      <c r="EJ163" s="45"/>
      <c r="EK163" s="45"/>
      <c r="EL163" s="45"/>
      <c r="EM163" s="45"/>
      <c r="EN163" s="45"/>
      <c r="EO163" s="45"/>
      <c r="EP163" s="45"/>
      <c r="EQ163" s="45"/>
      <c r="ER163" s="45"/>
      <c r="ES163" s="45"/>
      <c r="ET163" s="45"/>
      <c r="EU163" s="45"/>
      <c r="EV163" s="45"/>
      <c r="EW163" s="45"/>
      <c r="EX163" s="45"/>
      <c r="EY163" s="45"/>
      <c r="EZ163" s="45"/>
      <c r="FA163" s="45"/>
      <c r="FB163" s="45"/>
      <c r="FC163" s="45"/>
      <c r="FD163" s="45"/>
      <c r="FE163" s="45"/>
      <c r="FF163" s="45"/>
      <c r="FG163" s="45"/>
      <c r="FH163" s="45"/>
      <c r="FI163" s="45"/>
      <c r="FJ163" s="45"/>
      <c r="FK163" s="45"/>
      <c r="FL163" s="45"/>
      <c r="FM163" s="45"/>
      <c r="FN163" s="45"/>
      <c r="FO163" s="45"/>
      <c r="FP163" s="45"/>
      <c r="FQ163" s="45"/>
      <c r="FR163" s="45"/>
      <c r="FS163" s="45"/>
      <c r="FT163" s="45"/>
      <c r="FU163" s="45"/>
      <c r="FV163" s="45"/>
      <c r="FW163" s="45"/>
      <c r="FX163" s="45"/>
      <c r="FY163" s="45"/>
      <c r="FZ163" s="45"/>
      <c r="GA163" s="45"/>
      <c r="GB163" s="45"/>
      <c r="GC163" s="45"/>
    </row>
    <row r="164" spans="1:185" ht="30" x14ac:dyDescent="0.25">
      <c r="A164" s="116" t="s">
        <v>124</v>
      </c>
      <c r="B164" s="251">
        <f>'2 уровень'!C261</f>
        <v>910</v>
      </c>
      <c r="C164" s="251">
        <f>'2 уровень'!D261</f>
        <v>607</v>
      </c>
      <c r="D164" s="49">
        <f>'2 уровень'!E261</f>
        <v>1100</v>
      </c>
      <c r="E164" s="252">
        <f>'2 уровень'!F261</f>
        <v>181.21911037891269</v>
      </c>
      <c r="F164" s="193">
        <f>'2 уровень'!G261</f>
        <v>885.63020000000006</v>
      </c>
      <c r="G164" s="193">
        <f>'2 уровень'!H261</f>
        <v>590.41999999999996</v>
      </c>
      <c r="H164" s="62">
        <f>'2 уровень'!I261</f>
        <v>1059.1020900000001</v>
      </c>
      <c r="I164" s="193">
        <f>'2 уровень'!J261</f>
        <v>179.38113376918128</v>
      </c>
      <c r="J164" s="103"/>
      <c r="K164" s="103"/>
      <c r="L164" s="103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  <c r="AA164" s="45"/>
      <c r="AB164" s="45"/>
      <c r="AC164" s="45"/>
      <c r="AD164" s="45"/>
      <c r="AE164" s="45"/>
      <c r="AF164" s="45"/>
      <c r="AG164" s="45"/>
      <c r="AH164" s="45"/>
      <c r="AI164" s="45"/>
      <c r="AJ164" s="45"/>
      <c r="AK164" s="45"/>
      <c r="AL164" s="45"/>
      <c r="AM164" s="45"/>
      <c r="AN164" s="45"/>
      <c r="AO164" s="45"/>
      <c r="AP164" s="45"/>
      <c r="AQ164" s="45"/>
      <c r="AR164" s="45"/>
      <c r="AS164" s="45"/>
      <c r="AT164" s="45"/>
      <c r="AU164" s="45"/>
      <c r="AV164" s="45"/>
      <c r="AW164" s="45"/>
      <c r="AX164" s="45"/>
      <c r="AY164" s="45"/>
      <c r="AZ164" s="45"/>
      <c r="BA164" s="45"/>
      <c r="BB164" s="45"/>
      <c r="BC164" s="45"/>
      <c r="BD164" s="45"/>
      <c r="BE164" s="45"/>
      <c r="BF164" s="45"/>
      <c r="BG164" s="45"/>
      <c r="BH164" s="45"/>
      <c r="BI164" s="45"/>
      <c r="BJ164" s="45"/>
      <c r="BK164" s="45"/>
      <c r="BL164" s="45"/>
      <c r="BM164" s="45"/>
      <c r="BN164" s="45"/>
      <c r="BO164" s="45"/>
      <c r="BP164" s="45"/>
      <c r="BQ164" s="45"/>
      <c r="BR164" s="45"/>
      <c r="BS164" s="45"/>
      <c r="BT164" s="45"/>
      <c r="BU164" s="45"/>
      <c r="BV164" s="45"/>
      <c r="BW164" s="45"/>
      <c r="BX164" s="45"/>
      <c r="BY164" s="45"/>
      <c r="BZ164" s="45"/>
      <c r="CA164" s="45"/>
      <c r="CB164" s="45"/>
      <c r="CC164" s="45"/>
      <c r="CD164" s="45"/>
      <c r="CE164" s="45"/>
      <c r="CF164" s="45"/>
      <c r="CG164" s="45"/>
      <c r="CH164" s="45"/>
      <c r="CI164" s="45"/>
      <c r="CJ164" s="45"/>
      <c r="CK164" s="45"/>
      <c r="CL164" s="45"/>
      <c r="CM164" s="45"/>
      <c r="CN164" s="45"/>
      <c r="CO164" s="45"/>
      <c r="CP164" s="45"/>
      <c r="CQ164" s="45"/>
      <c r="CR164" s="45"/>
      <c r="CS164" s="45"/>
      <c r="CT164" s="45"/>
      <c r="CU164" s="45"/>
      <c r="CV164" s="45"/>
      <c r="CW164" s="45"/>
      <c r="CX164" s="45"/>
      <c r="CY164" s="45"/>
      <c r="CZ164" s="45"/>
      <c r="DA164" s="45"/>
      <c r="DB164" s="45"/>
      <c r="DC164" s="45"/>
      <c r="DD164" s="45"/>
      <c r="DE164" s="45"/>
      <c r="DF164" s="45"/>
      <c r="DG164" s="45"/>
      <c r="DH164" s="45"/>
      <c r="DI164" s="45"/>
      <c r="DJ164" s="45"/>
      <c r="DK164" s="45"/>
      <c r="DL164" s="45"/>
      <c r="DM164" s="45"/>
      <c r="DN164" s="45"/>
      <c r="DO164" s="45"/>
      <c r="DP164" s="45"/>
      <c r="DQ164" s="45"/>
      <c r="DR164" s="45"/>
      <c r="DS164" s="45"/>
      <c r="DT164" s="45"/>
      <c r="DU164" s="45"/>
      <c r="DV164" s="45"/>
      <c r="DW164" s="45"/>
      <c r="DX164" s="45"/>
      <c r="DY164" s="45"/>
      <c r="DZ164" s="45"/>
      <c r="EA164" s="45"/>
      <c r="EB164" s="45"/>
      <c r="EC164" s="45"/>
      <c r="ED164" s="45"/>
      <c r="EE164" s="45"/>
      <c r="EF164" s="45"/>
      <c r="EG164" s="45"/>
      <c r="EH164" s="45"/>
      <c r="EI164" s="45"/>
      <c r="EJ164" s="45"/>
      <c r="EK164" s="45"/>
      <c r="EL164" s="45"/>
      <c r="EM164" s="45"/>
      <c r="EN164" s="45"/>
      <c r="EO164" s="45"/>
      <c r="EP164" s="45"/>
      <c r="EQ164" s="45"/>
      <c r="ER164" s="45"/>
      <c r="ES164" s="45"/>
      <c r="ET164" s="45"/>
      <c r="EU164" s="45"/>
      <c r="EV164" s="45"/>
      <c r="EW164" s="45"/>
      <c r="EX164" s="45"/>
      <c r="EY164" s="45"/>
      <c r="EZ164" s="45"/>
      <c r="FA164" s="45"/>
      <c r="FB164" s="45"/>
      <c r="FC164" s="45"/>
      <c r="FD164" s="45"/>
      <c r="FE164" s="45"/>
      <c r="FF164" s="45"/>
      <c r="FG164" s="45"/>
      <c r="FH164" s="45"/>
      <c r="FI164" s="45"/>
      <c r="FJ164" s="45"/>
      <c r="FK164" s="45"/>
      <c r="FL164" s="45"/>
      <c r="FM164" s="45"/>
      <c r="FN164" s="45"/>
      <c r="FO164" s="45"/>
      <c r="FP164" s="45"/>
      <c r="FQ164" s="45"/>
      <c r="FR164" s="45"/>
      <c r="FS164" s="45"/>
      <c r="FT164" s="45"/>
      <c r="FU164" s="45"/>
      <c r="FV164" s="45"/>
      <c r="FW164" s="45"/>
      <c r="FX164" s="45"/>
      <c r="FY164" s="45"/>
      <c r="FZ164" s="45"/>
      <c r="GA164" s="45"/>
      <c r="GB164" s="45"/>
      <c r="GC164" s="45"/>
    </row>
    <row r="165" spans="1:185" ht="30" x14ac:dyDescent="0.25">
      <c r="A165" s="116" t="s">
        <v>125</v>
      </c>
      <c r="B165" s="251">
        <f>'2 уровень'!C262</f>
        <v>0</v>
      </c>
      <c r="C165" s="251">
        <f>'2 уровень'!D262</f>
        <v>0</v>
      </c>
      <c r="D165" s="49">
        <f>'2 уровень'!E262</f>
        <v>0</v>
      </c>
      <c r="E165" s="252">
        <f>'2 уровень'!F262</f>
        <v>0</v>
      </c>
      <c r="F165" s="193">
        <f>'2 уровень'!G262</f>
        <v>0</v>
      </c>
      <c r="G165" s="193">
        <f>'2 уровень'!H262</f>
        <v>0</v>
      </c>
      <c r="H165" s="62">
        <f>'2 уровень'!I262</f>
        <v>0</v>
      </c>
      <c r="I165" s="193">
        <f>'2 уровень'!J262</f>
        <v>0</v>
      </c>
      <c r="J165" s="103"/>
      <c r="K165" s="103"/>
      <c r="L165" s="103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  <c r="AJ165" s="45"/>
      <c r="AK165" s="45"/>
      <c r="AL165" s="45"/>
      <c r="AM165" s="45"/>
      <c r="AN165" s="45"/>
      <c r="AO165" s="45"/>
      <c r="AP165" s="45"/>
      <c r="AQ165" s="45"/>
      <c r="AR165" s="45"/>
      <c r="AS165" s="45"/>
      <c r="AT165" s="45"/>
      <c r="AU165" s="45"/>
      <c r="AV165" s="45"/>
      <c r="AW165" s="45"/>
      <c r="AX165" s="45"/>
      <c r="AY165" s="45"/>
      <c r="AZ165" s="45"/>
      <c r="BA165" s="45"/>
      <c r="BB165" s="45"/>
      <c r="BC165" s="45"/>
      <c r="BD165" s="45"/>
      <c r="BE165" s="45"/>
      <c r="BF165" s="45"/>
      <c r="BG165" s="45"/>
      <c r="BH165" s="45"/>
      <c r="BI165" s="45"/>
      <c r="BJ165" s="45"/>
      <c r="BK165" s="45"/>
      <c r="BL165" s="45"/>
      <c r="BM165" s="45"/>
      <c r="BN165" s="45"/>
      <c r="BO165" s="45"/>
      <c r="BP165" s="45"/>
      <c r="BQ165" s="45"/>
      <c r="BR165" s="45"/>
      <c r="BS165" s="45"/>
      <c r="BT165" s="45"/>
      <c r="BU165" s="45"/>
      <c r="BV165" s="45"/>
      <c r="BW165" s="45"/>
      <c r="BX165" s="45"/>
      <c r="BY165" s="45"/>
      <c r="BZ165" s="45"/>
      <c r="CA165" s="45"/>
      <c r="CB165" s="45"/>
      <c r="CC165" s="45"/>
      <c r="CD165" s="45"/>
      <c r="CE165" s="45"/>
      <c r="CF165" s="45"/>
      <c r="CG165" s="45"/>
      <c r="CH165" s="45"/>
      <c r="CI165" s="45"/>
      <c r="CJ165" s="45"/>
      <c r="CK165" s="45"/>
      <c r="CL165" s="45"/>
      <c r="CM165" s="45"/>
      <c r="CN165" s="45"/>
      <c r="CO165" s="45"/>
      <c r="CP165" s="45"/>
      <c r="CQ165" s="45"/>
      <c r="CR165" s="45"/>
      <c r="CS165" s="45"/>
      <c r="CT165" s="45"/>
      <c r="CU165" s="45"/>
      <c r="CV165" s="45"/>
      <c r="CW165" s="45"/>
      <c r="CX165" s="45"/>
      <c r="CY165" s="45"/>
      <c r="CZ165" s="45"/>
      <c r="DA165" s="45"/>
      <c r="DB165" s="45"/>
      <c r="DC165" s="45"/>
      <c r="DD165" s="45"/>
      <c r="DE165" s="45"/>
      <c r="DF165" s="45"/>
      <c r="DG165" s="45"/>
      <c r="DH165" s="45"/>
      <c r="DI165" s="45"/>
      <c r="DJ165" s="45"/>
      <c r="DK165" s="45"/>
      <c r="DL165" s="45"/>
      <c r="DM165" s="45"/>
      <c r="DN165" s="45"/>
      <c r="DO165" s="45"/>
      <c r="DP165" s="45"/>
      <c r="DQ165" s="45"/>
      <c r="DR165" s="45"/>
      <c r="DS165" s="45"/>
      <c r="DT165" s="45"/>
      <c r="DU165" s="45"/>
      <c r="DV165" s="45"/>
      <c r="DW165" s="45"/>
      <c r="DX165" s="45"/>
      <c r="DY165" s="45"/>
      <c r="DZ165" s="45"/>
      <c r="EA165" s="45"/>
      <c r="EB165" s="45"/>
      <c r="EC165" s="45"/>
      <c r="ED165" s="45"/>
      <c r="EE165" s="45"/>
      <c r="EF165" s="45"/>
      <c r="EG165" s="45"/>
      <c r="EH165" s="45"/>
      <c r="EI165" s="45"/>
      <c r="EJ165" s="45"/>
      <c r="EK165" s="45"/>
      <c r="EL165" s="45"/>
      <c r="EM165" s="45"/>
      <c r="EN165" s="45"/>
      <c r="EO165" s="45"/>
      <c r="EP165" s="45"/>
      <c r="EQ165" s="45"/>
      <c r="ER165" s="45"/>
      <c r="ES165" s="45"/>
      <c r="ET165" s="45"/>
      <c r="EU165" s="45"/>
      <c r="EV165" s="45"/>
      <c r="EW165" s="45"/>
      <c r="EX165" s="45"/>
      <c r="EY165" s="45"/>
      <c r="EZ165" s="45"/>
      <c r="FA165" s="45"/>
      <c r="FB165" s="45"/>
      <c r="FC165" s="45"/>
      <c r="FD165" s="45"/>
      <c r="FE165" s="45"/>
      <c r="FF165" s="45"/>
      <c r="FG165" s="45"/>
      <c r="FH165" s="45"/>
      <c r="FI165" s="45"/>
      <c r="FJ165" s="45"/>
      <c r="FK165" s="45"/>
      <c r="FL165" s="45"/>
      <c r="FM165" s="45"/>
      <c r="FN165" s="45"/>
      <c r="FO165" s="45"/>
      <c r="FP165" s="45"/>
      <c r="FQ165" s="45"/>
      <c r="FR165" s="45"/>
      <c r="FS165" s="45"/>
      <c r="FT165" s="45"/>
      <c r="FU165" s="45"/>
      <c r="FV165" s="45"/>
      <c r="FW165" s="45"/>
      <c r="FX165" s="45"/>
      <c r="FY165" s="45"/>
      <c r="FZ165" s="45"/>
      <c r="GA165" s="45"/>
      <c r="GB165" s="45"/>
      <c r="GC165" s="45"/>
    </row>
    <row r="166" spans="1:185" ht="15.75" thickBot="1" x14ac:dyDescent="0.3">
      <c r="A166" s="112" t="s">
        <v>4</v>
      </c>
      <c r="B166" s="251">
        <f>'2 уровень'!C263</f>
        <v>0</v>
      </c>
      <c r="C166" s="251">
        <f>'2 уровень'!D263</f>
        <v>0</v>
      </c>
      <c r="D166" s="49">
        <f>'2 уровень'!E263</f>
        <v>0</v>
      </c>
      <c r="E166" s="252">
        <f>'2 уровень'!F263</f>
        <v>0</v>
      </c>
      <c r="F166" s="193">
        <f>'2 уровень'!G263</f>
        <v>37650.78069</v>
      </c>
      <c r="G166" s="193">
        <f>'2 уровень'!H263</f>
        <v>25100.52</v>
      </c>
      <c r="H166" s="62">
        <f>'2 уровень'!I263</f>
        <v>25713.534130000004</v>
      </c>
      <c r="I166" s="193">
        <f>'2 уровень'!J263</f>
        <v>102.44223677437761</v>
      </c>
      <c r="J166" s="103"/>
      <c r="L166" s="727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  <c r="AJ166" s="45"/>
      <c r="AK166" s="45"/>
      <c r="AL166" s="45"/>
      <c r="AM166" s="45"/>
      <c r="AN166" s="45"/>
      <c r="AO166" s="45"/>
      <c r="AP166" s="45"/>
      <c r="AQ166" s="45"/>
      <c r="AR166" s="45"/>
      <c r="AS166" s="45"/>
      <c r="AT166" s="45"/>
      <c r="AU166" s="45"/>
      <c r="AV166" s="45"/>
      <c r="AW166" s="45"/>
      <c r="AX166" s="45"/>
      <c r="AY166" s="45"/>
      <c r="AZ166" s="45"/>
      <c r="BA166" s="45"/>
      <c r="BB166" s="45"/>
      <c r="BC166" s="45"/>
      <c r="BD166" s="45"/>
      <c r="BE166" s="45"/>
      <c r="BF166" s="45"/>
      <c r="BG166" s="45"/>
      <c r="BH166" s="45"/>
      <c r="BI166" s="45"/>
      <c r="BJ166" s="45"/>
      <c r="BK166" s="45"/>
      <c r="BL166" s="45"/>
      <c r="BM166" s="45"/>
      <c r="BN166" s="45"/>
      <c r="BO166" s="45"/>
      <c r="BP166" s="45"/>
      <c r="BQ166" s="45"/>
      <c r="BR166" s="45"/>
      <c r="BS166" s="45"/>
      <c r="BT166" s="45"/>
      <c r="BU166" s="45"/>
      <c r="BV166" s="45"/>
      <c r="BW166" s="45"/>
      <c r="BX166" s="45"/>
      <c r="BY166" s="45"/>
      <c r="BZ166" s="45"/>
      <c r="CA166" s="45"/>
      <c r="CB166" s="45"/>
      <c r="CC166" s="45"/>
      <c r="CD166" s="45"/>
      <c r="CE166" s="45"/>
      <c r="CF166" s="45"/>
      <c r="CG166" s="45"/>
      <c r="CH166" s="45"/>
      <c r="CI166" s="45"/>
      <c r="CJ166" s="45"/>
      <c r="CK166" s="45"/>
      <c r="CL166" s="45"/>
      <c r="CM166" s="45"/>
      <c r="CN166" s="45"/>
      <c r="CO166" s="45"/>
      <c r="CP166" s="45"/>
      <c r="CQ166" s="45"/>
      <c r="CR166" s="45"/>
      <c r="CS166" s="45"/>
      <c r="CT166" s="45"/>
      <c r="CU166" s="45"/>
      <c r="CV166" s="45"/>
      <c r="CW166" s="45"/>
      <c r="CX166" s="45"/>
      <c r="CY166" s="45"/>
      <c r="CZ166" s="45"/>
      <c r="DA166" s="45"/>
      <c r="DB166" s="45"/>
      <c r="DC166" s="45"/>
      <c r="DD166" s="45"/>
      <c r="DE166" s="45"/>
      <c r="DF166" s="45"/>
      <c r="DG166" s="45"/>
      <c r="DH166" s="45"/>
      <c r="DI166" s="45"/>
      <c r="DJ166" s="45"/>
      <c r="DK166" s="45"/>
      <c r="DL166" s="45"/>
      <c r="DM166" s="45"/>
      <c r="DN166" s="45"/>
      <c r="DO166" s="45"/>
      <c r="DP166" s="45"/>
      <c r="DQ166" s="45"/>
      <c r="DR166" s="45"/>
      <c r="DS166" s="45"/>
      <c r="DT166" s="45"/>
      <c r="DU166" s="45"/>
      <c r="DV166" s="45"/>
      <c r="DW166" s="45"/>
      <c r="DX166" s="45"/>
      <c r="DY166" s="45"/>
      <c r="DZ166" s="45"/>
      <c r="EA166" s="45"/>
      <c r="EB166" s="45"/>
      <c r="EC166" s="45"/>
      <c r="ED166" s="45"/>
      <c r="EE166" s="45"/>
      <c r="EF166" s="45"/>
      <c r="EG166" s="45"/>
      <c r="EH166" s="45"/>
      <c r="EI166" s="45"/>
      <c r="EJ166" s="45"/>
      <c r="EK166" s="45"/>
      <c r="EL166" s="45"/>
      <c r="EM166" s="45"/>
      <c r="EN166" s="45"/>
      <c r="EO166" s="45"/>
      <c r="EP166" s="45"/>
      <c r="EQ166" s="45"/>
      <c r="ER166" s="45"/>
      <c r="ES166" s="45"/>
      <c r="ET166" s="45"/>
      <c r="EU166" s="45"/>
      <c r="EV166" s="45"/>
      <c r="EW166" s="45"/>
      <c r="EX166" s="45"/>
      <c r="EY166" s="45"/>
      <c r="EZ166" s="45"/>
      <c r="FA166" s="45"/>
      <c r="FB166" s="45"/>
      <c r="FC166" s="45"/>
      <c r="FD166" s="45"/>
      <c r="FE166" s="45"/>
      <c r="FF166" s="45"/>
      <c r="FG166" s="45"/>
      <c r="FH166" s="45"/>
      <c r="FI166" s="45"/>
      <c r="FJ166" s="45"/>
      <c r="FK166" s="45"/>
      <c r="FL166" s="45"/>
      <c r="FM166" s="45"/>
      <c r="FN166" s="45"/>
      <c r="FO166" s="45"/>
      <c r="FP166" s="45"/>
      <c r="FQ166" s="45"/>
      <c r="FR166" s="45"/>
      <c r="FS166" s="45"/>
      <c r="FT166" s="45"/>
      <c r="FU166" s="45"/>
      <c r="FV166" s="45"/>
      <c r="FW166" s="45"/>
      <c r="FX166" s="45"/>
      <c r="FY166" s="45"/>
      <c r="FZ166" s="45"/>
      <c r="GA166" s="45"/>
      <c r="GB166" s="45"/>
      <c r="GC166" s="45"/>
    </row>
    <row r="167" spans="1:185" ht="15" customHeight="1" x14ac:dyDescent="0.25">
      <c r="A167" s="96" t="s">
        <v>14</v>
      </c>
      <c r="B167" s="97"/>
      <c r="C167" s="97"/>
      <c r="D167" s="97"/>
      <c r="E167" s="183"/>
      <c r="F167" s="98"/>
      <c r="G167" s="98"/>
      <c r="H167" s="98"/>
      <c r="I167" s="98"/>
      <c r="J167" s="103"/>
      <c r="L167" s="727"/>
    </row>
    <row r="168" spans="1:185" ht="30" x14ac:dyDescent="0.25">
      <c r="A168" s="542" t="s">
        <v>120</v>
      </c>
      <c r="B168" s="539">
        <f>'2 уровень'!C280</f>
        <v>7401</v>
      </c>
      <c r="C168" s="539">
        <f>'2 уровень'!D280</f>
        <v>4934</v>
      </c>
      <c r="D168" s="539">
        <f>'2 уровень'!E280</f>
        <v>5362</v>
      </c>
      <c r="E168" s="540">
        <f>'2 уровень'!F280</f>
        <v>108.67450344548033</v>
      </c>
      <c r="F168" s="543">
        <f>'2 уровень'!G280</f>
        <v>12361.96379</v>
      </c>
      <c r="G168" s="543">
        <f>'2 уровень'!H280</f>
        <v>8241.3100000000013</v>
      </c>
      <c r="H168" s="543">
        <f>'2 уровень'!I280</f>
        <v>8939.5834700000014</v>
      </c>
      <c r="I168" s="543">
        <f>'2 уровень'!J280</f>
        <v>108.47284557916157</v>
      </c>
      <c r="J168" s="103"/>
      <c r="L168" s="727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  <c r="X168" s="45"/>
      <c r="Y168" s="45"/>
      <c r="Z168" s="45"/>
      <c r="AA168" s="45"/>
      <c r="AB168" s="45"/>
      <c r="AC168" s="45"/>
      <c r="AD168" s="45"/>
      <c r="AE168" s="45"/>
      <c r="AF168" s="45"/>
      <c r="AG168" s="45"/>
      <c r="AH168" s="45"/>
      <c r="AI168" s="45"/>
      <c r="AJ168" s="45"/>
      <c r="AK168" s="45"/>
      <c r="AL168" s="45"/>
      <c r="AM168" s="45"/>
      <c r="AN168" s="45"/>
      <c r="AO168" s="45"/>
      <c r="AP168" s="45"/>
      <c r="AQ168" s="45"/>
      <c r="AR168" s="45"/>
      <c r="AS168" s="45"/>
      <c r="AT168" s="45"/>
      <c r="AU168" s="45"/>
      <c r="AV168" s="45"/>
      <c r="AW168" s="45"/>
      <c r="AX168" s="45"/>
      <c r="AY168" s="45"/>
      <c r="AZ168" s="45"/>
      <c r="BA168" s="45"/>
      <c r="BB168" s="45"/>
      <c r="BC168" s="45"/>
      <c r="BD168" s="45"/>
      <c r="BE168" s="45"/>
      <c r="BF168" s="45"/>
      <c r="BG168" s="45"/>
      <c r="BH168" s="45"/>
      <c r="BI168" s="45"/>
      <c r="BJ168" s="45"/>
      <c r="BK168" s="45"/>
      <c r="BL168" s="45"/>
      <c r="BM168" s="45"/>
      <c r="BN168" s="45"/>
      <c r="BO168" s="45"/>
      <c r="BP168" s="45"/>
      <c r="BQ168" s="45"/>
      <c r="BR168" s="45"/>
      <c r="BS168" s="45"/>
      <c r="BT168" s="45"/>
      <c r="BU168" s="45"/>
      <c r="BV168" s="45"/>
      <c r="BW168" s="45"/>
      <c r="BX168" s="45"/>
      <c r="BY168" s="45"/>
      <c r="BZ168" s="45"/>
      <c r="CA168" s="45"/>
      <c r="CB168" s="45"/>
      <c r="CC168" s="45"/>
      <c r="CD168" s="45"/>
      <c r="CE168" s="45"/>
      <c r="CF168" s="45"/>
      <c r="CG168" s="45"/>
      <c r="CH168" s="45"/>
      <c r="CI168" s="45"/>
      <c r="CJ168" s="45"/>
      <c r="CK168" s="45"/>
      <c r="CL168" s="45"/>
      <c r="CM168" s="45"/>
      <c r="CN168" s="45"/>
      <c r="CO168" s="45"/>
      <c r="CP168" s="45"/>
      <c r="CQ168" s="45"/>
      <c r="CR168" s="45"/>
      <c r="CS168" s="45"/>
      <c r="CT168" s="45"/>
      <c r="CU168" s="45"/>
      <c r="CV168" s="45"/>
      <c r="CW168" s="45"/>
      <c r="CX168" s="45"/>
      <c r="CY168" s="45"/>
      <c r="CZ168" s="45"/>
      <c r="DA168" s="45"/>
      <c r="DB168" s="45"/>
      <c r="DC168" s="45"/>
      <c r="DD168" s="45"/>
      <c r="DE168" s="45"/>
      <c r="DF168" s="45"/>
      <c r="DG168" s="45"/>
      <c r="DH168" s="45"/>
      <c r="DI168" s="45"/>
      <c r="DJ168" s="45"/>
      <c r="DK168" s="45"/>
      <c r="DL168" s="45"/>
      <c r="DM168" s="45"/>
      <c r="DN168" s="45"/>
      <c r="DO168" s="45"/>
      <c r="DP168" s="45"/>
      <c r="DQ168" s="45"/>
      <c r="DR168" s="45"/>
      <c r="DS168" s="45"/>
      <c r="DT168" s="45"/>
      <c r="DU168" s="45"/>
      <c r="DV168" s="45"/>
      <c r="DW168" s="45"/>
      <c r="DX168" s="45"/>
      <c r="DY168" s="45"/>
      <c r="DZ168" s="45"/>
      <c r="EA168" s="45"/>
      <c r="EB168" s="45"/>
      <c r="EC168" s="45"/>
      <c r="ED168" s="45"/>
      <c r="EE168" s="45"/>
      <c r="EF168" s="45"/>
      <c r="EG168" s="45"/>
      <c r="EH168" s="45"/>
      <c r="EI168" s="45"/>
      <c r="EJ168" s="45"/>
      <c r="EK168" s="45"/>
      <c r="EL168" s="45"/>
      <c r="EM168" s="45"/>
      <c r="EN168" s="45"/>
      <c r="EO168" s="45"/>
      <c r="EP168" s="45"/>
      <c r="EQ168" s="45"/>
      <c r="ER168" s="45"/>
      <c r="ES168" s="45"/>
      <c r="ET168" s="45"/>
      <c r="EU168" s="45"/>
      <c r="EV168" s="45"/>
      <c r="EW168" s="45"/>
      <c r="EX168" s="45"/>
      <c r="EY168" s="45"/>
      <c r="EZ168" s="45"/>
      <c r="FA168" s="45"/>
      <c r="FB168" s="45"/>
      <c r="FC168" s="45"/>
      <c r="FD168" s="45"/>
      <c r="FE168" s="45"/>
      <c r="FF168" s="45"/>
      <c r="FG168" s="45"/>
      <c r="FH168" s="45"/>
      <c r="FI168" s="45"/>
      <c r="FJ168" s="45"/>
      <c r="FK168" s="45"/>
      <c r="FL168" s="45"/>
      <c r="FM168" s="45"/>
      <c r="FN168" s="45"/>
      <c r="FO168" s="45"/>
      <c r="FP168" s="45"/>
      <c r="FQ168" s="45"/>
      <c r="FR168" s="45"/>
      <c r="FS168" s="45"/>
      <c r="FT168" s="45"/>
      <c r="FU168" s="45"/>
      <c r="FV168" s="45"/>
      <c r="FW168" s="45"/>
      <c r="FX168" s="45"/>
      <c r="FY168" s="45"/>
      <c r="FZ168" s="45"/>
      <c r="GA168" s="45"/>
      <c r="GB168" s="45"/>
      <c r="GC168" s="45"/>
    </row>
    <row r="169" spans="1:185" ht="30" x14ac:dyDescent="0.25">
      <c r="A169" s="116" t="s">
        <v>79</v>
      </c>
      <c r="B169" s="49">
        <f>'2 уровень'!C281</f>
        <v>5485</v>
      </c>
      <c r="C169" s="49">
        <f>'2 уровень'!D281</f>
        <v>3657</v>
      </c>
      <c r="D169" s="49">
        <f>'2 уровень'!E281</f>
        <v>4206</v>
      </c>
      <c r="E169" s="180">
        <f>'2 уровень'!F281</f>
        <v>115.01230516817063</v>
      </c>
      <c r="F169" s="62">
        <f>'2 уровень'!G281</f>
        <v>7514.5098000000007</v>
      </c>
      <c r="G169" s="62">
        <f>'2 уровень'!H281</f>
        <v>5009.67</v>
      </c>
      <c r="H169" s="62">
        <f>'2 уровень'!I281</f>
        <v>5562.528440000001</v>
      </c>
      <c r="I169" s="62">
        <f>'2 уровень'!J281</f>
        <v>111.03582551345698</v>
      </c>
      <c r="J169" s="103"/>
      <c r="L169" s="727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  <c r="X169" s="45"/>
      <c r="Y169" s="45"/>
      <c r="Z169" s="45"/>
      <c r="AA169" s="45"/>
      <c r="AB169" s="45"/>
      <c r="AC169" s="45"/>
      <c r="AD169" s="45"/>
      <c r="AE169" s="45"/>
      <c r="AF169" s="45"/>
      <c r="AG169" s="45"/>
      <c r="AH169" s="45"/>
      <c r="AI169" s="45"/>
      <c r="AJ169" s="45"/>
      <c r="AK169" s="45"/>
      <c r="AL169" s="45"/>
      <c r="AM169" s="45"/>
      <c r="AN169" s="45"/>
      <c r="AO169" s="45"/>
      <c r="AP169" s="45"/>
      <c r="AQ169" s="45"/>
      <c r="AR169" s="45"/>
      <c r="AS169" s="45"/>
      <c r="AT169" s="45"/>
      <c r="AU169" s="45"/>
      <c r="AV169" s="45"/>
      <c r="AW169" s="45"/>
      <c r="AX169" s="45"/>
      <c r="AY169" s="45"/>
      <c r="AZ169" s="45"/>
      <c r="BA169" s="45"/>
      <c r="BB169" s="45"/>
      <c r="BC169" s="45"/>
      <c r="BD169" s="45"/>
      <c r="BE169" s="45"/>
      <c r="BF169" s="45"/>
      <c r="BG169" s="45"/>
      <c r="BH169" s="45"/>
      <c r="BI169" s="45"/>
      <c r="BJ169" s="45"/>
      <c r="BK169" s="45"/>
      <c r="BL169" s="45"/>
      <c r="BM169" s="45"/>
      <c r="BN169" s="45"/>
      <c r="BO169" s="45"/>
      <c r="BP169" s="45"/>
      <c r="BQ169" s="45"/>
      <c r="BR169" s="45"/>
      <c r="BS169" s="45"/>
      <c r="BT169" s="45"/>
      <c r="BU169" s="45"/>
      <c r="BV169" s="45"/>
      <c r="BW169" s="45"/>
      <c r="BX169" s="45"/>
      <c r="BY169" s="45"/>
      <c r="BZ169" s="45"/>
      <c r="CA169" s="45"/>
      <c r="CB169" s="45"/>
      <c r="CC169" s="45"/>
      <c r="CD169" s="45"/>
      <c r="CE169" s="45"/>
      <c r="CF169" s="45"/>
      <c r="CG169" s="45"/>
      <c r="CH169" s="45"/>
      <c r="CI169" s="45"/>
      <c r="CJ169" s="45"/>
      <c r="CK169" s="45"/>
      <c r="CL169" s="45"/>
      <c r="CM169" s="45"/>
      <c r="CN169" s="45"/>
      <c r="CO169" s="45"/>
      <c r="CP169" s="45"/>
      <c r="CQ169" s="45"/>
      <c r="CR169" s="45"/>
      <c r="CS169" s="45"/>
      <c r="CT169" s="45"/>
      <c r="CU169" s="45"/>
      <c r="CV169" s="45"/>
      <c r="CW169" s="45"/>
      <c r="CX169" s="45"/>
      <c r="CY169" s="45"/>
      <c r="CZ169" s="45"/>
      <c r="DA169" s="45"/>
      <c r="DB169" s="45"/>
      <c r="DC169" s="45"/>
      <c r="DD169" s="45"/>
      <c r="DE169" s="45"/>
      <c r="DF169" s="45"/>
      <c r="DG169" s="45"/>
      <c r="DH169" s="45"/>
      <c r="DI169" s="45"/>
      <c r="DJ169" s="45"/>
      <c r="DK169" s="45"/>
      <c r="DL169" s="45"/>
      <c r="DM169" s="45"/>
      <c r="DN169" s="45"/>
      <c r="DO169" s="45"/>
      <c r="DP169" s="45"/>
      <c r="DQ169" s="45"/>
      <c r="DR169" s="45"/>
      <c r="DS169" s="45"/>
      <c r="DT169" s="45"/>
      <c r="DU169" s="45"/>
      <c r="DV169" s="45"/>
      <c r="DW169" s="45"/>
      <c r="DX169" s="45"/>
      <c r="DY169" s="45"/>
      <c r="DZ169" s="45"/>
      <c r="EA169" s="45"/>
      <c r="EB169" s="45"/>
      <c r="EC169" s="45"/>
      <c r="ED169" s="45"/>
      <c r="EE169" s="45"/>
      <c r="EF169" s="45"/>
      <c r="EG169" s="45"/>
      <c r="EH169" s="45"/>
      <c r="EI169" s="45"/>
      <c r="EJ169" s="45"/>
      <c r="EK169" s="45"/>
      <c r="EL169" s="45"/>
      <c r="EM169" s="45"/>
      <c r="EN169" s="45"/>
      <c r="EO169" s="45"/>
      <c r="EP169" s="45"/>
      <c r="EQ169" s="45"/>
      <c r="ER169" s="45"/>
      <c r="ES169" s="45"/>
      <c r="ET169" s="45"/>
      <c r="EU169" s="45"/>
      <c r="EV169" s="45"/>
      <c r="EW169" s="45"/>
      <c r="EX169" s="45"/>
      <c r="EY169" s="45"/>
      <c r="EZ169" s="45"/>
      <c r="FA169" s="45"/>
      <c r="FB169" s="45"/>
      <c r="FC169" s="45"/>
      <c r="FD169" s="45"/>
      <c r="FE169" s="45"/>
      <c r="FF169" s="45"/>
      <c r="FG169" s="45"/>
      <c r="FH169" s="45"/>
      <c r="FI169" s="45"/>
      <c r="FJ169" s="45"/>
      <c r="FK169" s="45"/>
      <c r="FL169" s="45"/>
      <c r="FM169" s="45"/>
      <c r="FN169" s="45"/>
      <c r="FO169" s="45"/>
      <c r="FP169" s="45"/>
      <c r="FQ169" s="45"/>
      <c r="FR169" s="45"/>
      <c r="FS169" s="45"/>
      <c r="FT169" s="45"/>
      <c r="FU169" s="45"/>
      <c r="FV169" s="45"/>
      <c r="FW169" s="45"/>
      <c r="FX169" s="45"/>
      <c r="FY169" s="45"/>
      <c r="FZ169" s="45"/>
      <c r="GA169" s="45"/>
      <c r="GB169" s="45"/>
      <c r="GC169" s="45"/>
    </row>
    <row r="170" spans="1:185" ht="30" x14ac:dyDescent="0.25">
      <c r="A170" s="116" t="s">
        <v>80</v>
      </c>
      <c r="B170" s="49">
        <f>'2 уровень'!C282</f>
        <v>1646</v>
      </c>
      <c r="C170" s="49">
        <f>'2 уровень'!D282</f>
        <v>1097</v>
      </c>
      <c r="D170" s="49">
        <f>'2 уровень'!E282</f>
        <v>865</v>
      </c>
      <c r="E170" s="180">
        <f>'2 уровень'!F282</f>
        <v>78.8514129443938</v>
      </c>
      <c r="F170" s="62">
        <f>'2 уровень'!G282</f>
        <v>3075.6923900000002</v>
      </c>
      <c r="G170" s="62">
        <f>'2 уровень'!H282</f>
        <v>2050.46</v>
      </c>
      <c r="H170" s="62">
        <f>'2 уровень'!I282</f>
        <v>1565.9209499999999</v>
      </c>
      <c r="I170" s="62">
        <f>'2 уровень'!J282</f>
        <v>76.369251289954448</v>
      </c>
      <c r="J170" s="103"/>
      <c r="L170" s="727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  <c r="X170" s="45"/>
      <c r="Y170" s="45"/>
      <c r="Z170" s="45"/>
      <c r="AA170" s="45"/>
      <c r="AB170" s="45"/>
      <c r="AC170" s="45"/>
      <c r="AD170" s="45"/>
      <c r="AE170" s="45"/>
      <c r="AF170" s="45"/>
      <c r="AG170" s="45"/>
      <c r="AH170" s="45"/>
      <c r="AI170" s="45"/>
      <c r="AJ170" s="45"/>
      <c r="AK170" s="45"/>
      <c r="AL170" s="45"/>
      <c r="AM170" s="45"/>
      <c r="AN170" s="45"/>
      <c r="AO170" s="45"/>
      <c r="AP170" s="45"/>
      <c r="AQ170" s="45"/>
      <c r="AR170" s="45"/>
      <c r="AS170" s="45"/>
      <c r="AT170" s="45"/>
      <c r="AU170" s="45"/>
      <c r="AV170" s="45"/>
      <c r="AW170" s="45"/>
      <c r="AX170" s="45"/>
      <c r="AY170" s="45"/>
      <c r="AZ170" s="45"/>
      <c r="BA170" s="45"/>
      <c r="BB170" s="45"/>
      <c r="BC170" s="45"/>
      <c r="BD170" s="45"/>
      <c r="BE170" s="45"/>
      <c r="BF170" s="45"/>
      <c r="BG170" s="45"/>
      <c r="BH170" s="45"/>
      <c r="BI170" s="45"/>
      <c r="BJ170" s="45"/>
      <c r="BK170" s="45"/>
      <c r="BL170" s="45"/>
      <c r="BM170" s="45"/>
      <c r="BN170" s="45"/>
      <c r="BO170" s="45"/>
      <c r="BP170" s="45"/>
      <c r="BQ170" s="45"/>
      <c r="BR170" s="45"/>
      <c r="BS170" s="45"/>
      <c r="BT170" s="45"/>
      <c r="BU170" s="45"/>
      <c r="BV170" s="45"/>
      <c r="BW170" s="45"/>
      <c r="BX170" s="45"/>
      <c r="BY170" s="45"/>
      <c r="BZ170" s="45"/>
      <c r="CA170" s="45"/>
      <c r="CB170" s="45"/>
      <c r="CC170" s="45"/>
      <c r="CD170" s="45"/>
      <c r="CE170" s="45"/>
      <c r="CF170" s="45"/>
      <c r="CG170" s="45"/>
      <c r="CH170" s="45"/>
      <c r="CI170" s="45"/>
      <c r="CJ170" s="45"/>
      <c r="CK170" s="45"/>
      <c r="CL170" s="45"/>
      <c r="CM170" s="45"/>
      <c r="CN170" s="45"/>
      <c r="CO170" s="45"/>
      <c r="CP170" s="45"/>
      <c r="CQ170" s="45"/>
      <c r="CR170" s="45"/>
      <c r="CS170" s="45"/>
      <c r="CT170" s="45"/>
      <c r="CU170" s="45"/>
      <c r="CV170" s="45"/>
      <c r="CW170" s="45"/>
      <c r="CX170" s="45"/>
      <c r="CY170" s="45"/>
      <c r="CZ170" s="45"/>
      <c r="DA170" s="45"/>
      <c r="DB170" s="45"/>
      <c r="DC170" s="45"/>
      <c r="DD170" s="45"/>
      <c r="DE170" s="45"/>
      <c r="DF170" s="45"/>
      <c r="DG170" s="45"/>
      <c r="DH170" s="45"/>
      <c r="DI170" s="45"/>
      <c r="DJ170" s="45"/>
      <c r="DK170" s="45"/>
      <c r="DL170" s="45"/>
      <c r="DM170" s="45"/>
      <c r="DN170" s="45"/>
      <c r="DO170" s="45"/>
      <c r="DP170" s="45"/>
      <c r="DQ170" s="45"/>
      <c r="DR170" s="45"/>
      <c r="DS170" s="45"/>
      <c r="DT170" s="45"/>
      <c r="DU170" s="45"/>
      <c r="DV170" s="45"/>
      <c r="DW170" s="45"/>
      <c r="DX170" s="45"/>
      <c r="DY170" s="45"/>
      <c r="DZ170" s="45"/>
      <c r="EA170" s="45"/>
      <c r="EB170" s="45"/>
      <c r="EC170" s="45"/>
      <c r="ED170" s="45"/>
      <c r="EE170" s="45"/>
      <c r="EF170" s="45"/>
      <c r="EG170" s="45"/>
      <c r="EH170" s="45"/>
      <c r="EI170" s="45"/>
      <c r="EJ170" s="45"/>
      <c r="EK170" s="45"/>
      <c r="EL170" s="45"/>
      <c r="EM170" s="45"/>
      <c r="EN170" s="45"/>
      <c r="EO170" s="45"/>
      <c r="EP170" s="45"/>
      <c r="EQ170" s="45"/>
      <c r="ER170" s="45"/>
      <c r="ES170" s="45"/>
      <c r="ET170" s="45"/>
      <c r="EU170" s="45"/>
      <c r="EV170" s="45"/>
      <c r="EW170" s="45"/>
      <c r="EX170" s="45"/>
      <c r="EY170" s="45"/>
      <c r="EZ170" s="45"/>
      <c r="FA170" s="45"/>
      <c r="FB170" s="45"/>
      <c r="FC170" s="45"/>
      <c r="FD170" s="45"/>
      <c r="FE170" s="45"/>
      <c r="FF170" s="45"/>
      <c r="FG170" s="45"/>
      <c r="FH170" s="45"/>
      <c r="FI170" s="45"/>
      <c r="FJ170" s="45"/>
      <c r="FK170" s="45"/>
      <c r="FL170" s="45"/>
      <c r="FM170" s="45"/>
      <c r="FN170" s="45"/>
      <c r="FO170" s="45"/>
      <c r="FP170" s="45"/>
      <c r="FQ170" s="45"/>
      <c r="FR170" s="45"/>
      <c r="FS170" s="45"/>
      <c r="FT170" s="45"/>
      <c r="FU170" s="45"/>
      <c r="FV170" s="45"/>
      <c r="FW170" s="45"/>
      <c r="FX170" s="45"/>
      <c r="FY170" s="45"/>
      <c r="FZ170" s="45"/>
      <c r="GA170" s="45"/>
      <c r="GB170" s="45"/>
      <c r="GC170" s="45"/>
    </row>
    <row r="171" spans="1:185" ht="45" x14ac:dyDescent="0.25">
      <c r="A171" s="116" t="s">
        <v>110</v>
      </c>
      <c r="B171" s="49">
        <f>'2 уровень'!C283</f>
        <v>120</v>
      </c>
      <c r="C171" s="49">
        <f>'2 уровень'!D283</f>
        <v>80</v>
      </c>
      <c r="D171" s="49">
        <f>'2 уровень'!E283</f>
        <v>134</v>
      </c>
      <c r="E171" s="180">
        <f>'2 уровень'!F283</f>
        <v>167.5</v>
      </c>
      <c r="F171" s="62">
        <f>'2 уровень'!G283</f>
        <v>787.44960000000003</v>
      </c>
      <c r="G171" s="62">
        <f>'2 уровень'!H283</f>
        <v>524.97</v>
      </c>
      <c r="H171" s="62">
        <f>'2 уровень'!I283</f>
        <v>780.88751999999999</v>
      </c>
      <c r="I171" s="62">
        <f>'2 уровень'!J283</f>
        <v>148.74897994171096</v>
      </c>
      <c r="J171" s="103"/>
      <c r="L171" s="727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  <c r="X171" s="45"/>
      <c r="Y171" s="45"/>
      <c r="Z171" s="45"/>
      <c r="AA171" s="45"/>
      <c r="AB171" s="45"/>
      <c r="AC171" s="45"/>
      <c r="AD171" s="45"/>
      <c r="AE171" s="45"/>
      <c r="AF171" s="45"/>
      <c r="AG171" s="45"/>
      <c r="AH171" s="45"/>
      <c r="AI171" s="45"/>
      <c r="AJ171" s="45"/>
      <c r="AK171" s="45"/>
      <c r="AL171" s="45"/>
      <c r="AM171" s="45"/>
      <c r="AN171" s="45"/>
      <c r="AO171" s="45"/>
      <c r="AP171" s="45"/>
      <c r="AQ171" s="45"/>
      <c r="AR171" s="45"/>
      <c r="AS171" s="45"/>
      <c r="AT171" s="45"/>
      <c r="AU171" s="45"/>
      <c r="AV171" s="45"/>
      <c r="AW171" s="45"/>
      <c r="AX171" s="45"/>
      <c r="AY171" s="45"/>
      <c r="AZ171" s="45"/>
      <c r="BA171" s="45"/>
      <c r="BB171" s="45"/>
      <c r="BC171" s="45"/>
      <c r="BD171" s="45"/>
      <c r="BE171" s="45"/>
      <c r="BF171" s="45"/>
      <c r="BG171" s="45"/>
      <c r="BH171" s="45"/>
      <c r="BI171" s="45"/>
      <c r="BJ171" s="45"/>
      <c r="BK171" s="45"/>
      <c r="BL171" s="45"/>
      <c r="BM171" s="45"/>
      <c r="BN171" s="45"/>
      <c r="BO171" s="45"/>
      <c r="BP171" s="45"/>
      <c r="BQ171" s="45"/>
      <c r="BR171" s="45"/>
      <c r="BS171" s="45"/>
      <c r="BT171" s="45"/>
      <c r="BU171" s="45"/>
      <c r="BV171" s="45"/>
      <c r="BW171" s="45"/>
      <c r="BX171" s="45"/>
      <c r="BY171" s="45"/>
      <c r="BZ171" s="45"/>
      <c r="CA171" s="45"/>
      <c r="CB171" s="45"/>
      <c r="CC171" s="45"/>
      <c r="CD171" s="45"/>
      <c r="CE171" s="45"/>
      <c r="CF171" s="45"/>
      <c r="CG171" s="45"/>
      <c r="CH171" s="45"/>
      <c r="CI171" s="45"/>
      <c r="CJ171" s="45"/>
      <c r="CK171" s="45"/>
      <c r="CL171" s="45"/>
      <c r="CM171" s="45"/>
      <c r="CN171" s="45"/>
      <c r="CO171" s="45"/>
      <c r="CP171" s="45"/>
      <c r="CQ171" s="45"/>
      <c r="CR171" s="45"/>
      <c r="CS171" s="45"/>
      <c r="CT171" s="45"/>
      <c r="CU171" s="45"/>
      <c r="CV171" s="45"/>
      <c r="CW171" s="45"/>
      <c r="CX171" s="45"/>
      <c r="CY171" s="45"/>
      <c r="CZ171" s="45"/>
      <c r="DA171" s="45"/>
      <c r="DB171" s="45"/>
      <c r="DC171" s="45"/>
      <c r="DD171" s="45"/>
      <c r="DE171" s="45"/>
      <c r="DF171" s="45"/>
      <c r="DG171" s="45"/>
      <c r="DH171" s="45"/>
      <c r="DI171" s="45"/>
      <c r="DJ171" s="45"/>
      <c r="DK171" s="45"/>
      <c r="DL171" s="45"/>
      <c r="DM171" s="45"/>
      <c r="DN171" s="45"/>
      <c r="DO171" s="45"/>
      <c r="DP171" s="45"/>
      <c r="DQ171" s="45"/>
      <c r="DR171" s="45"/>
      <c r="DS171" s="45"/>
      <c r="DT171" s="45"/>
      <c r="DU171" s="45"/>
      <c r="DV171" s="45"/>
      <c r="DW171" s="45"/>
      <c r="DX171" s="45"/>
      <c r="DY171" s="45"/>
      <c r="DZ171" s="45"/>
      <c r="EA171" s="45"/>
      <c r="EB171" s="45"/>
      <c r="EC171" s="45"/>
      <c r="ED171" s="45"/>
      <c r="EE171" s="45"/>
      <c r="EF171" s="45"/>
      <c r="EG171" s="45"/>
      <c r="EH171" s="45"/>
      <c r="EI171" s="45"/>
      <c r="EJ171" s="45"/>
      <c r="EK171" s="45"/>
      <c r="EL171" s="45"/>
      <c r="EM171" s="45"/>
      <c r="EN171" s="45"/>
      <c r="EO171" s="45"/>
      <c r="EP171" s="45"/>
      <c r="EQ171" s="45"/>
      <c r="ER171" s="45"/>
      <c r="ES171" s="45"/>
      <c r="ET171" s="45"/>
      <c r="EU171" s="45"/>
      <c r="EV171" s="45"/>
      <c r="EW171" s="45"/>
      <c r="EX171" s="45"/>
      <c r="EY171" s="45"/>
      <c r="EZ171" s="45"/>
      <c r="FA171" s="45"/>
      <c r="FB171" s="45"/>
      <c r="FC171" s="45"/>
      <c r="FD171" s="45"/>
      <c r="FE171" s="45"/>
      <c r="FF171" s="45"/>
      <c r="FG171" s="45"/>
      <c r="FH171" s="45"/>
      <c r="FI171" s="45"/>
      <c r="FJ171" s="45"/>
      <c r="FK171" s="45"/>
      <c r="FL171" s="45"/>
      <c r="FM171" s="45"/>
      <c r="FN171" s="45"/>
      <c r="FO171" s="45"/>
      <c r="FP171" s="45"/>
      <c r="FQ171" s="45"/>
      <c r="FR171" s="45"/>
      <c r="FS171" s="45"/>
      <c r="FT171" s="45"/>
      <c r="FU171" s="45"/>
      <c r="FV171" s="45"/>
      <c r="FW171" s="45"/>
      <c r="FX171" s="45"/>
      <c r="FY171" s="45"/>
      <c r="FZ171" s="45"/>
      <c r="GA171" s="45"/>
      <c r="GB171" s="45"/>
      <c r="GC171" s="45"/>
    </row>
    <row r="172" spans="1:185" ht="30" x14ac:dyDescent="0.25">
      <c r="A172" s="116" t="s">
        <v>111</v>
      </c>
      <c r="B172" s="49">
        <f>'2 уровень'!C284</f>
        <v>150</v>
      </c>
      <c r="C172" s="49">
        <f>'2 уровень'!D284</f>
        <v>100</v>
      </c>
      <c r="D172" s="49">
        <f>'2 уровень'!E284</f>
        <v>157</v>
      </c>
      <c r="E172" s="180">
        <f>'2 уровень'!F284</f>
        <v>157</v>
      </c>
      <c r="F172" s="62">
        <f>'2 уровень'!G284</f>
        <v>984.31200000000001</v>
      </c>
      <c r="G172" s="62">
        <f>'2 уровень'!H284</f>
        <v>656.21</v>
      </c>
      <c r="H172" s="62">
        <f>'2 уровень'!I284</f>
        <v>1030.2465600000003</v>
      </c>
      <c r="I172" s="62">
        <f>'2 уровень'!J284</f>
        <v>156.99952149464352</v>
      </c>
      <c r="J172" s="103"/>
      <c r="L172" s="727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5"/>
      <c r="AB172" s="45"/>
      <c r="AC172" s="45"/>
      <c r="AD172" s="45"/>
      <c r="AE172" s="45"/>
      <c r="AF172" s="45"/>
      <c r="AG172" s="45"/>
      <c r="AH172" s="45"/>
      <c r="AI172" s="45"/>
      <c r="AJ172" s="45"/>
      <c r="AK172" s="45"/>
      <c r="AL172" s="45"/>
      <c r="AM172" s="45"/>
      <c r="AN172" s="45"/>
      <c r="AO172" s="45"/>
      <c r="AP172" s="45"/>
      <c r="AQ172" s="45"/>
      <c r="AR172" s="45"/>
      <c r="AS172" s="45"/>
      <c r="AT172" s="45"/>
      <c r="AU172" s="45"/>
      <c r="AV172" s="45"/>
      <c r="AW172" s="45"/>
      <c r="AX172" s="45"/>
      <c r="AY172" s="45"/>
      <c r="AZ172" s="45"/>
      <c r="BA172" s="45"/>
      <c r="BB172" s="45"/>
      <c r="BC172" s="45"/>
      <c r="BD172" s="45"/>
      <c r="BE172" s="45"/>
      <c r="BF172" s="45"/>
      <c r="BG172" s="45"/>
      <c r="BH172" s="45"/>
      <c r="BI172" s="45"/>
      <c r="BJ172" s="45"/>
      <c r="BK172" s="45"/>
      <c r="BL172" s="45"/>
      <c r="BM172" s="45"/>
      <c r="BN172" s="45"/>
      <c r="BO172" s="45"/>
      <c r="BP172" s="45"/>
      <c r="BQ172" s="45"/>
      <c r="BR172" s="45"/>
      <c r="BS172" s="45"/>
      <c r="BT172" s="45"/>
      <c r="BU172" s="45"/>
      <c r="BV172" s="45"/>
      <c r="BW172" s="45"/>
      <c r="BX172" s="45"/>
      <c r="BY172" s="45"/>
      <c r="BZ172" s="45"/>
      <c r="CA172" s="45"/>
      <c r="CB172" s="45"/>
      <c r="CC172" s="45"/>
      <c r="CD172" s="45"/>
      <c r="CE172" s="45"/>
      <c r="CF172" s="45"/>
      <c r="CG172" s="45"/>
      <c r="CH172" s="45"/>
      <c r="CI172" s="45"/>
      <c r="CJ172" s="45"/>
      <c r="CK172" s="45"/>
      <c r="CL172" s="45"/>
      <c r="CM172" s="45"/>
      <c r="CN172" s="45"/>
      <c r="CO172" s="45"/>
      <c r="CP172" s="45"/>
      <c r="CQ172" s="45"/>
      <c r="CR172" s="45"/>
      <c r="CS172" s="45"/>
      <c r="CT172" s="45"/>
      <c r="CU172" s="45"/>
      <c r="CV172" s="45"/>
      <c r="CW172" s="45"/>
      <c r="CX172" s="45"/>
      <c r="CY172" s="45"/>
      <c r="CZ172" s="45"/>
      <c r="DA172" s="45"/>
      <c r="DB172" s="45"/>
      <c r="DC172" s="45"/>
      <c r="DD172" s="45"/>
      <c r="DE172" s="45"/>
      <c r="DF172" s="45"/>
      <c r="DG172" s="45"/>
      <c r="DH172" s="45"/>
      <c r="DI172" s="45"/>
      <c r="DJ172" s="45"/>
      <c r="DK172" s="45"/>
      <c r="DL172" s="45"/>
      <c r="DM172" s="45"/>
      <c r="DN172" s="45"/>
      <c r="DO172" s="45"/>
      <c r="DP172" s="45"/>
      <c r="DQ172" s="45"/>
      <c r="DR172" s="45"/>
      <c r="DS172" s="45"/>
      <c r="DT172" s="45"/>
      <c r="DU172" s="45"/>
      <c r="DV172" s="45"/>
      <c r="DW172" s="45"/>
      <c r="DX172" s="45"/>
      <c r="DY172" s="45"/>
      <c r="DZ172" s="45"/>
      <c r="EA172" s="45"/>
      <c r="EB172" s="45"/>
      <c r="EC172" s="45"/>
      <c r="ED172" s="45"/>
      <c r="EE172" s="45"/>
      <c r="EF172" s="45"/>
      <c r="EG172" s="45"/>
      <c r="EH172" s="45"/>
      <c r="EI172" s="45"/>
      <c r="EJ172" s="45"/>
      <c r="EK172" s="45"/>
      <c r="EL172" s="45"/>
      <c r="EM172" s="45"/>
      <c r="EN172" s="45"/>
      <c r="EO172" s="45"/>
      <c r="EP172" s="45"/>
      <c r="EQ172" s="45"/>
      <c r="ER172" s="45"/>
      <c r="ES172" s="45"/>
      <c r="ET172" s="45"/>
      <c r="EU172" s="45"/>
      <c r="EV172" s="45"/>
      <c r="EW172" s="45"/>
      <c r="EX172" s="45"/>
      <c r="EY172" s="45"/>
      <c r="EZ172" s="45"/>
      <c r="FA172" s="45"/>
      <c r="FB172" s="45"/>
      <c r="FC172" s="45"/>
      <c r="FD172" s="45"/>
      <c r="FE172" s="45"/>
      <c r="FF172" s="45"/>
      <c r="FG172" s="45"/>
      <c r="FH172" s="45"/>
      <c r="FI172" s="45"/>
      <c r="FJ172" s="45"/>
      <c r="FK172" s="45"/>
      <c r="FL172" s="45"/>
      <c r="FM172" s="45"/>
      <c r="FN172" s="45"/>
      <c r="FO172" s="45"/>
      <c r="FP172" s="45"/>
      <c r="FQ172" s="45"/>
      <c r="FR172" s="45"/>
      <c r="FS172" s="45"/>
      <c r="FT172" s="45"/>
      <c r="FU172" s="45"/>
      <c r="FV172" s="45"/>
      <c r="FW172" s="45"/>
      <c r="FX172" s="45"/>
      <c r="FY172" s="45"/>
      <c r="FZ172" s="45"/>
      <c r="GA172" s="45"/>
      <c r="GB172" s="45"/>
      <c r="GC172" s="45"/>
    </row>
    <row r="173" spans="1:185" ht="30" x14ac:dyDescent="0.25">
      <c r="A173" s="542" t="s">
        <v>112</v>
      </c>
      <c r="B173" s="539">
        <f>'2 уровень'!C285</f>
        <v>12174</v>
      </c>
      <c r="C173" s="539">
        <f>'2 уровень'!D285</f>
        <v>8116</v>
      </c>
      <c r="D173" s="539">
        <f>'2 уровень'!E285</f>
        <v>7176</v>
      </c>
      <c r="E173" s="540">
        <f>'2 уровень'!F285</f>
        <v>88.417939871858053</v>
      </c>
      <c r="F173" s="543">
        <f>'2 уровень'!G285</f>
        <v>23609.339840000001</v>
      </c>
      <c r="G173" s="543">
        <f>'2 уровень'!H285</f>
        <v>15739.560000000001</v>
      </c>
      <c r="H173" s="543">
        <f>'2 уровень'!I285</f>
        <v>15063.080930000002</v>
      </c>
      <c r="I173" s="543">
        <f>'2 уровень'!J285</f>
        <v>95.70204586405211</v>
      </c>
      <c r="J173" s="103"/>
      <c r="L173" s="727"/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  <c r="X173" s="45"/>
      <c r="Y173" s="45"/>
      <c r="Z173" s="45"/>
      <c r="AA173" s="45"/>
      <c r="AB173" s="45"/>
      <c r="AC173" s="45"/>
      <c r="AD173" s="45"/>
      <c r="AE173" s="45"/>
      <c r="AF173" s="45"/>
      <c r="AG173" s="45"/>
      <c r="AH173" s="45"/>
      <c r="AI173" s="45"/>
      <c r="AJ173" s="45"/>
      <c r="AK173" s="45"/>
      <c r="AL173" s="45"/>
      <c r="AM173" s="45"/>
      <c r="AN173" s="45"/>
      <c r="AO173" s="45"/>
      <c r="AP173" s="45"/>
      <c r="AQ173" s="45"/>
      <c r="AR173" s="45"/>
      <c r="AS173" s="45"/>
      <c r="AT173" s="45"/>
      <c r="AU173" s="45"/>
      <c r="AV173" s="45"/>
      <c r="AW173" s="45"/>
      <c r="AX173" s="45"/>
      <c r="AY173" s="45"/>
      <c r="AZ173" s="45"/>
      <c r="BA173" s="45"/>
      <c r="BB173" s="45"/>
      <c r="BC173" s="45"/>
      <c r="BD173" s="45"/>
      <c r="BE173" s="45"/>
      <c r="BF173" s="45"/>
      <c r="BG173" s="45"/>
      <c r="BH173" s="45"/>
      <c r="BI173" s="45"/>
      <c r="BJ173" s="45"/>
      <c r="BK173" s="45"/>
      <c r="BL173" s="45"/>
      <c r="BM173" s="45"/>
      <c r="BN173" s="45"/>
      <c r="BO173" s="45"/>
      <c r="BP173" s="45"/>
      <c r="BQ173" s="45"/>
      <c r="BR173" s="45"/>
      <c r="BS173" s="45"/>
      <c r="BT173" s="45"/>
      <c r="BU173" s="45"/>
      <c r="BV173" s="45"/>
      <c r="BW173" s="45"/>
      <c r="BX173" s="45"/>
      <c r="BY173" s="45"/>
      <c r="BZ173" s="45"/>
      <c r="CA173" s="45"/>
      <c r="CB173" s="45"/>
      <c r="CC173" s="45"/>
      <c r="CD173" s="45"/>
      <c r="CE173" s="45"/>
      <c r="CF173" s="45"/>
      <c r="CG173" s="45"/>
      <c r="CH173" s="45"/>
      <c r="CI173" s="45"/>
      <c r="CJ173" s="45"/>
      <c r="CK173" s="45"/>
      <c r="CL173" s="45"/>
      <c r="CM173" s="45"/>
      <c r="CN173" s="45"/>
      <c r="CO173" s="45"/>
      <c r="CP173" s="45"/>
      <c r="CQ173" s="45"/>
      <c r="CR173" s="45"/>
      <c r="CS173" s="45"/>
      <c r="CT173" s="45"/>
      <c r="CU173" s="45"/>
      <c r="CV173" s="45"/>
      <c r="CW173" s="45"/>
      <c r="CX173" s="45"/>
      <c r="CY173" s="45"/>
      <c r="CZ173" s="45"/>
      <c r="DA173" s="45"/>
      <c r="DB173" s="45"/>
      <c r="DC173" s="45"/>
      <c r="DD173" s="45"/>
      <c r="DE173" s="45"/>
      <c r="DF173" s="45"/>
      <c r="DG173" s="45"/>
      <c r="DH173" s="45"/>
      <c r="DI173" s="45"/>
      <c r="DJ173" s="45"/>
      <c r="DK173" s="45"/>
      <c r="DL173" s="45"/>
      <c r="DM173" s="45"/>
      <c r="DN173" s="45"/>
      <c r="DO173" s="45"/>
      <c r="DP173" s="45"/>
      <c r="DQ173" s="45"/>
      <c r="DR173" s="45"/>
      <c r="DS173" s="45"/>
      <c r="DT173" s="45"/>
      <c r="DU173" s="45"/>
      <c r="DV173" s="45"/>
      <c r="DW173" s="45"/>
      <c r="DX173" s="45"/>
      <c r="DY173" s="45"/>
      <c r="DZ173" s="45"/>
      <c r="EA173" s="45"/>
      <c r="EB173" s="45"/>
      <c r="EC173" s="45"/>
      <c r="ED173" s="45"/>
      <c r="EE173" s="45"/>
      <c r="EF173" s="45"/>
      <c r="EG173" s="45"/>
      <c r="EH173" s="45"/>
      <c r="EI173" s="45"/>
      <c r="EJ173" s="45"/>
      <c r="EK173" s="45"/>
      <c r="EL173" s="45"/>
      <c r="EM173" s="45"/>
      <c r="EN173" s="45"/>
      <c r="EO173" s="45"/>
      <c r="EP173" s="45"/>
      <c r="EQ173" s="45"/>
      <c r="ER173" s="45"/>
      <c r="ES173" s="45"/>
      <c r="ET173" s="45"/>
      <c r="EU173" s="45"/>
      <c r="EV173" s="45"/>
      <c r="EW173" s="45"/>
      <c r="EX173" s="45"/>
      <c r="EY173" s="45"/>
      <c r="EZ173" s="45"/>
      <c r="FA173" s="45"/>
      <c r="FB173" s="45"/>
      <c r="FC173" s="45"/>
      <c r="FD173" s="45"/>
      <c r="FE173" s="45"/>
      <c r="FF173" s="45"/>
      <c r="FG173" s="45"/>
      <c r="FH173" s="45"/>
      <c r="FI173" s="45"/>
      <c r="FJ173" s="45"/>
      <c r="FK173" s="45"/>
      <c r="FL173" s="45"/>
      <c r="FM173" s="45"/>
      <c r="FN173" s="45"/>
      <c r="FO173" s="45"/>
      <c r="FP173" s="45"/>
      <c r="FQ173" s="45"/>
      <c r="FR173" s="45"/>
      <c r="FS173" s="45"/>
      <c r="FT173" s="45"/>
      <c r="FU173" s="45"/>
      <c r="FV173" s="45"/>
      <c r="FW173" s="45"/>
      <c r="FX173" s="45"/>
      <c r="FY173" s="45"/>
      <c r="FZ173" s="45"/>
      <c r="GA173" s="45"/>
      <c r="GB173" s="45"/>
      <c r="GC173" s="45"/>
    </row>
    <row r="174" spans="1:185" ht="30" x14ac:dyDescent="0.25">
      <c r="A174" s="116" t="s">
        <v>108</v>
      </c>
      <c r="B174" s="49">
        <f>'2 уровень'!C286</f>
        <v>600</v>
      </c>
      <c r="C174" s="49">
        <f>'2 уровень'!D286</f>
        <v>400</v>
      </c>
      <c r="D174" s="49">
        <f>'2 уровень'!E286</f>
        <v>438</v>
      </c>
      <c r="E174" s="180">
        <f>'2 уровень'!F286</f>
        <v>109.5</v>
      </c>
      <c r="F174" s="62">
        <f>'2 уровень'!G286</f>
        <v>1272.306</v>
      </c>
      <c r="G174" s="62">
        <f>'2 уровень'!H286</f>
        <v>848.2</v>
      </c>
      <c r="H174" s="62">
        <f>'2 уровень'!I286</f>
        <v>921.47678000000008</v>
      </c>
      <c r="I174" s="62">
        <f>'2 уровень'!J286</f>
        <v>108.63909219523697</v>
      </c>
      <c r="J174" s="103"/>
      <c r="L174" s="727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  <c r="AA174" s="45"/>
      <c r="AB174" s="45"/>
      <c r="AC174" s="45"/>
      <c r="AD174" s="45"/>
      <c r="AE174" s="45"/>
      <c r="AF174" s="45"/>
      <c r="AG174" s="45"/>
      <c r="AH174" s="45"/>
      <c r="AI174" s="45"/>
      <c r="AJ174" s="45"/>
      <c r="AK174" s="45"/>
      <c r="AL174" s="45"/>
      <c r="AM174" s="45"/>
      <c r="AN174" s="45"/>
      <c r="AO174" s="45"/>
      <c r="AP174" s="45"/>
      <c r="AQ174" s="45"/>
      <c r="AR174" s="45"/>
      <c r="AS174" s="45"/>
      <c r="AT174" s="45"/>
      <c r="AU174" s="45"/>
      <c r="AV174" s="45"/>
      <c r="AW174" s="45"/>
      <c r="AX174" s="45"/>
      <c r="AY174" s="45"/>
      <c r="AZ174" s="45"/>
      <c r="BA174" s="45"/>
      <c r="BB174" s="45"/>
      <c r="BC174" s="45"/>
      <c r="BD174" s="45"/>
      <c r="BE174" s="45"/>
      <c r="BF174" s="45"/>
      <c r="BG174" s="45"/>
      <c r="BH174" s="45"/>
      <c r="BI174" s="45"/>
      <c r="BJ174" s="45"/>
      <c r="BK174" s="45"/>
      <c r="BL174" s="45"/>
      <c r="BM174" s="45"/>
      <c r="BN174" s="45"/>
      <c r="BO174" s="45"/>
      <c r="BP174" s="45"/>
      <c r="BQ174" s="45"/>
      <c r="BR174" s="45"/>
      <c r="BS174" s="45"/>
      <c r="BT174" s="45"/>
      <c r="BU174" s="45"/>
      <c r="BV174" s="45"/>
      <c r="BW174" s="45"/>
      <c r="BX174" s="45"/>
      <c r="BY174" s="45"/>
      <c r="BZ174" s="45"/>
      <c r="CA174" s="45"/>
      <c r="CB174" s="45"/>
      <c r="CC174" s="45"/>
      <c r="CD174" s="45"/>
      <c r="CE174" s="45"/>
      <c r="CF174" s="45"/>
      <c r="CG174" s="45"/>
      <c r="CH174" s="45"/>
      <c r="CI174" s="45"/>
      <c r="CJ174" s="45"/>
      <c r="CK174" s="45"/>
      <c r="CL174" s="45"/>
      <c r="CM174" s="45"/>
      <c r="CN174" s="45"/>
      <c r="CO174" s="45"/>
      <c r="CP174" s="45"/>
      <c r="CQ174" s="45"/>
      <c r="CR174" s="45"/>
      <c r="CS174" s="45"/>
      <c r="CT174" s="45"/>
      <c r="CU174" s="45"/>
      <c r="CV174" s="45"/>
      <c r="CW174" s="45"/>
      <c r="CX174" s="45"/>
      <c r="CY174" s="45"/>
      <c r="CZ174" s="45"/>
      <c r="DA174" s="45"/>
      <c r="DB174" s="45"/>
      <c r="DC174" s="45"/>
      <c r="DD174" s="45"/>
      <c r="DE174" s="45"/>
      <c r="DF174" s="45"/>
      <c r="DG174" s="45"/>
      <c r="DH174" s="45"/>
      <c r="DI174" s="45"/>
      <c r="DJ174" s="45"/>
      <c r="DK174" s="45"/>
      <c r="DL174" s="45"/>
      <c r="DM174" s="45"/>
      <c r="DN174" s="45"/>
      <c r="DO174" s="45"/>
      <c r="DP174" s="45"/>
      <c r="DQ174" s="45"/>
      <c r="DR174" s="45"/>
      <c r="DS174" s="45"/>
      <c r="DT174" s="45"/>
      <c r="DU174" s="45"/>
      <c r="DV174" s="45"/>
      <c r="DW174" s="45"/>
      <c r="DX174" s="45"/>
      <c r="DY174" s="45"/>
      <c r="DZ174" s="45"/>
      <c r="EA174" s="45"/>
      <c r="EB174" s="45"/>
      <c r="EC174" s="45"/>
      <c r="ED174" s="45"/>
      <c r="EE174" s="45"/>
      <c r="EF174" s="45"/>
      <c r="EG174" s="45"/>
      <c r="EH174" s="45"/>
      <c r="EI174" s="45"/>
      <c r="EJ174" s="45"/>
      <c r="EK174" s="45"/>
      <c r="EL174" s="45"/>
      <c r="EM174" s="45"/>
      <c r="EN174" s="45"/>
      <c r="EO174" s="45"/>
      <c r="EP174" s="45"/>
      <c r="EQ174" s="45"/>
      <c r="ER174" s="45"/>
      <c r="ES174" s="45"/>
      <c r="ET174" s="45"/>
      <c r="EU174" s="45"/>
      <c r="EV174" s="45"/>
      <c r="EW174" s="45"/>
      <c r="EX174" s="45"/>
      <c r="EY174" s="45"/>
      <c r="EZ174" s="45"/>
      <c r="FA174" s="45"/>
      <c r="FB174" s="45"/>
      <c r="FC174" s="45"/>
      <c r="FD174" s="45"/>
      <c r="FE174" s="45"/>
      <c r="FF174" s="45"/>
      <c r="FG174" s="45"/>
      <c r="FH174" s="45"/>
      <c r="FI174" s="45"/>
      <c r="FJ174" s="45"/>
      <c r="FK174" s="45"/>
      <c r="FL174" s="45"/>
      <c r="FM174" s="45"/>
      <c r="FN174" s="45"/>
      <c r="FO174" s="45"/>
      <c r="FP174" s="45"/>
      <c r="FQ174" s="45"/>
      <c r="FR174" s="45"/>
      <c r="FS174" s="45"/>
      <c r="FT174" s="45"/>
      <c r="FU174" s="45"/>
      <c r="FV174" s="45"/>
      <c r="FW174" s="45"/>
      <c r="FX174" s="45"/>
      <c r="FY174" s="45"/>
      <c r="FZ174" s="45"/>
      <c r="GA174" s="45"/>
      <c r="GB174" s="45"/>
      <c r="GC174" s="45"/>
    </row>
    <row r="175" spans="1:185" ht="60" x14ac:dyDescent="0.25">
      <c r="A175" s="116" t="s">
        <v>81</v>
      </c>
      <c r="B175" s="49">
        <f>'2 уровень'!C287</f>
        <v>6200</v>
      </c>
      <c r="C175" s="49">
        <f>'2 уровень'!D287</f>
        <v>4133</v>
      </c>
      <c r="D175" s="49">
        <f>'2 уровень'!E287</f>
        <v>4735</v>
      </c>
      <c r="E175" s="180">
        <f>'2 уровень'!F287</f>
        <v>114.56569078151463</v>
      </c>
      <c r="F175" s="62">
        <f>'2 уровень'!G287</f>
        <v>17069.653999999999</v>
      </c>
      <c r="G175" s="62">
        <f>'2 уровень'!H287</f>
        <v>11379.77</v>
      </c>
      <c r="H175" s="62">
        <f>'2 уровень'!I287</f>
        <v>11971.454760000001</v>
      </c>
      <c r="I175" s="62">
        <f>'2 уровень'!J287</f>
        <v>105.19944392549235</v>
      </c>
      <c r="J175" s="103"/>
      <c r="L175" s="727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  <c r="AA175" s="45"/>
      <c r="AB175" s="45"/>
      <c r="AC175" s="45"/>
      <c r="AD175" s="45"/>
      <c r="AE175" s="45"/>
      <c r="AF175" s="45"/>
      <c r="AG175" s="45"/>
      <c r="AH175" s="45"/>
      <c r="AI175" s="45"/>
      <c r="AJ175" s="45"/>
      <c r="AK175" s="45"/>
      <c r="AL175" s="45"/>
      <c r="AM175" s="45"/>
      <c r="AN175" s="45"/>
      <c r="AO175" s="45"/>
      <c r="AP175" s="45"/>
      <c r="AQ175" s="45"/>
      <c r="AR175" s="45"/>
      <c r="AS175" s="45"/>
      <c r="AT175" s="45"/>
      <c r="AU175" s="45"/>
      <c r="AV175" s="45"/>
      <c r="AW175" s="45"/>
      <c r="AX175" s="45"/>
      <c r="AY175" s="45"/>
      <c r="AZ175" s="45"/>
      <c r="BA175" s="45"/>
      <c r="BB175" s="45"/>
      <c r="BC175" s="45"/>
      <c r="BD175" s="45"/>
      <c r="BE175" s="45"/>
      <c r="BF175" s="45"/>
      <c r="BG175" s="45"/>
      <c r="BH175" s="45"/>
      <c r="BI175" s="45"/>
      <c r="BJ175" s="45"/>
      <c r="BK175" s="45"/>
      <c r="BL175" s="45"/>
      <c r="BM175" s="45"/>
      <c r="BN175" s="45"/>
      <c r="BO175" s="45"/>
      <c r="BP175" s="45"/>
      <c r="BQ175" s="45"/>
      <c r="BR175" s="45"/>
      <c r="BS175" s="45"/>
      <c r="BT175" s="45"/>
      <c r="BU175" s="45"/>
      <c r="BV175" s="45"/>
      <c r="BW175" s="45"/>
      <c r="BX175" s="45"/>
      <c r="BY175" s="45"/>
      <c r="BZ175" s="45"/>
      <c r="CA175" s="45"/>
      <c r="CB175" s="45"/>
      <c r="CC175" s="45"/>
      <c r="CD175" s="45"/>
      <c r="CE175" s="45"/>
      <c r="CF175" s="45"/>
      <c r="CG175" s="45"/>
      <c r="CH175" s="45"/>
      <c r="CI175" s="45"/>
      <c r="CJ175" s="45"/>
      <c r="CK175" s="45"/>
      <c r="CL175" s="45"/>
      <c r="CM175" s="45"/>
      <c r="CN175" s="45"/>
      <c r="CO175" s="45"/>
      <c r="CP175" s="45"/>
      <c r="CQ175" s="45"/>
      <c r="CR175" s="45"/>
      <c r="CS175" s="45"/>
      <c r="CT175" s="45"/>
      <c r="CU175" s="45"/>
      <c r="CV175" s="45"/>
      <c r="CW175" s="45"/>
      <c r="CX175" s="45"/>
      <c r="CY175" s="45"/>
      <c r="CZ175" s="45"/>
      <c r="DA175" s="45"/>
      <c r="DB175" s="45"/>
      <c r="DC175" s="45"/>
      <c r="DD175" s="45"/>
      <c r="DE175" s="45"/>
      <c r="DF175" s="45"/>
      <c r="DG175" s="45"/>
      <c r="DH175" s="45"/>
      <c r="DI175" s="45"/>
      <c r="DJ175" s="45"/>
      <c r="DK175" s="45"/>
      <c r="DL175" s="45"/>
      <c r="DM175" s="45"/>
      <c r="DN175" s="45"/>
      <c r="DO175" s="45"/>
      <c r="DP175" s="45"/>
      <c r="DQ175" s="45"/>
      <c r="DR175" s="45"/>
      <c r="DS175" s="45"/>
      <c r="DT175" s="45"/>
      <c r="DU175" s="45"/>
      <c r="DV175" s="45"/>
      <c r="DW175" s="45"/>
      <c r="DX175" s="45"/>
      <c r="DY175" s="45"/>
      <c r="DZ175" s="45"/>
      <c r="EA175" s="45"/>
      <c r="EB175" s="45"/>
      <c r="EC175" s="45"/>
      <c r="ED175" s="45"/>
      <c r="EE175" s="45"/>
      <c r="EF175" s="45"/>
      <c r="EG175" s="45"/>
      <c r="EH175" s="45"/>
      <c r="EI175" s="45"/>
      <c r="EJ175" s="45"/>
      <c r="EK175" s="45"/>
      <c r="EL175" s="45"/>
      <c r="EM175" s="45"/>
      <c r="EN175" s="45"/>
      <c r="EO175" s="45"/>
      <c r="EP175" s="45"/>
      <c r="EQ175" s="45"/>
      <c r="ER175" s="45"/>
      <c r="ES175" s="45"/>
      <c r="ET175" s="45"/>
      <c r="EU175" s="45"/>
      <c r="EV175" s="45"/>
      <c r="EW175" s="45"/>
      <c r="EX175" s="45"/>
      <c r="EY175" s="45"/>
      <c r="EZ175" s="45"/>
      <c r="FA175" s="45"/>
      <c r="FB175" s="45"/>
      <c r="FC175" s="45"/>
      <c r="FD175" s="45"/>
      <c r="FE175" s="45"/>
      <c r="FF175" s="45"/>
      <c r="FG175" s="45"/>
      <c r="FH175" s="45"/>
      <c r="FI175" s="45"/>
      <c r="FJ175" s="45"/>
      <c r="FK175" s="45"/>
      <c r="FL175" s="45"/>
      <c r="FM175" s="45"/>
      <c r="FN175" s="45"/>
      <c r="FO175" s="45"/>
      <c r="FP175" s="45"/>
      <c r="FQ175" s="45"/>
      <c r="FR175" s="45"/>
      <c r="FS175" s="45"/>
      <c r="FT175" s="45"/>
      <c r="FU175" s="45"/>
      <c r="FV175" s="45"/>
      <c r="FW175" s="45"/>
      <c r="FX175" s="45"/>
      <c r="FY175" s="45"/>
      <c r="FZ175" s="45"/>
      <c r="GA175" s="45"/>
      <c r="GB175" s="45"/>
      <c r="GC175" s="45"/>
    </row>
    <row r="176" spans="1:185" ht="45" x14ac:dyDescent="0.25">
      <c r="A176" s="116" t="s">
        <v>109</v>
      </c>
      <c r="B176" s="49">
        <f>'2 уровень'!C288</f>
        <v>5374</v>
      </c>
      <c r="C176" s="49">
        <f>'2 уровень'!D288</f>
        <v>3583</v>
      </c>
      <c r="D176" s="49">
        <f>'2 уровень'!E288</f>
        <v>2003</v>
      </c>
      <c r="E176" s="180">
        <f>'2 уровень'!F288</f>
        <v>55.902874686017299</v>
      </c>
      <c r="F176" s="62">
        <f>'2 уровень'!G288</f>
        <v>5267.3798399999996</v>
      </c>
      <c r="G176" s="62">
        <f>'2 уровень'!H288</f>
        <v>3511.59</v>
      </c>
      <c r="H176" s="62">
        <f>'2 уровень'!I288</f>
        <v>2170.14939</v>
      </c>
      <c r="I176" s="62">
        <f>'2 уровень'!J288</f>
        <v>61.799623247588698</v>
      </c>
      <c r="J176" s="103"/>
      <c r="L176" s="727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  <c r="AC176" s="45"/>
      <c r="AD176" s="45"/>
      <c r="AE176" s="45"/>
      <c r="AF176" s="45"/>
      <c r="AG176" s="45"/>
      <c r="AH176" s="45"/>
      <c r="AI176" s="45"/>
      <c r="AJ176" s="45"/>
      <c r="AK176" s="45"/>
      <c r="AL176" s="45"/>
      <c r="AM176" s="45"/>
      <c r="AN176" s="45"/>
      <c r="AO176" s="45"/>
      <c r="AP176" s="45"/>
      <c r="AQ176" s="45"/>
      <c r="AR176" s="45"/>
      <c r="AS176" s="45"/>
      <c r="AT176" s="45"/>
      <c r="AU176" s="45"/>
      <c r="AV176" s="45"/>
      <c r="AW176" s="45"/>
      <c r="AX176" s="45"/>
      <c r="AY176" s="45"/>
      <c r="AZ176" s="45"/>
      <c r="BA176" s="45"/>
      <c r="BB176" s="45"/>
      <c r="BC176" s="45"/>
      <c r="BD176" s="45"/>
      <c r="BE176" s="45"/>
      <c r="BF176" s="45"/>
      <c r="BG176" s="45"/>
      <c r="BH176" s="45"/>
      <c r="BI176" s="45"/>
      <c r="BJ176" s="45"/>
      <c r="BK176" s="45"/>
      <c r="BL176" s="45"/>
      <c r="BM176" s="45"/>
      <c r="BN176" s="45"/>
      <c r="BO176" s="45"/>
      <c r="BP176" s="45"/>
      <c r="BQ176" s="45"/>
      <c r="BR176" s="45"/>
      <c r="BS176" s="45"/>
      <c r="BT176" s="45"/>
      <c r="BU176" s="45"/>
      <c r="BV176" s="45"/>
      <c r="BW176" s="45"/>
      <c r="BX176" s="45"/>
      <c r="BY176" s="45"/>
      <c r="BZ176" s="45"/>
      <c r="CA176" s="45"/>
      <c r="CB176" s="45"/>
      <c r="CC176" s="45"/>
      <c r="CD176" s="45"/>
      <c r="CE176" s="45"/>
      <c r="CF176" s="45"/>
      <c r="CG176" s="45"/>
      <c r="CH176" s="45"/>
      <c r="CI176" s="45"/>
      <c r="CJ176" s="45"/>
      <c r="CK176" s="45"/>
      <c r="CL176" s="45"/>
      <c r="CM176" s="45"/>
      <c r="CN176" s="45"/>
      <c r="CO176" s="45"/>
      <c r="CP176" s="45"/>
      <c r="CQ176" s="45"/>
      <c r="CR176" s="45"/>
      <c r="CS176" s="45"/>
      <c r="CT176" s="45"/>
      <c r="CU176" s="45"/>
      <c r="CV176" s="45"/>
      <c r="CW176" s="45"/>
      <c r="CX176" s="45"/>
      <c r="CY176" s="45"/>
      <c r="CZ176" s="45"/>
      <c r="DA176" s="45"/>
      <c r="DB176" s="45"/>
      <c r="DC176" s="45"/>
      <c r="DD176" s="45"/>
      <c r="DE176" s="45"/>
      <c r="DF176" s="45"/>
      <c r="DG176" s="45"/>
      <c r="DH176" s="45"/>
      <c r="DI176" s="45"/>
      <c r="DJ176" s="45"/>
      <c r="DK176" s="45"/>
      <c r="DL176" s="45"/>
      <c r="DM176" s="45"/>
      <c r="DN176" s="45"/>
      <c r="DO176" s="45"/>
      <c r="DP176" s="45"/>
      <c r="DQ176" s="45"/>
      <c r="DR176" s="45"/>
      <c r="DS176" s="45"/>
      <c r="DT176" s="45"/>
      <c r="DU176" s="45"/>
      <c r="DV176" s="45"/>
      <c r="DW176" s="45"/>
      <c r="DX176" s="45"/>
      <c r="DY176" s="45"/>
      <c r="DZ176" s="45"/>
      <c r="EA176" s="45"/>
      <c r="EB176" s="45"/>
      <c r="EC176" s="45"/>
      <c r="ED176" s="45"/>
      <c r="EE176" s="45"/>
      <c r="EF176" s="45"/>
      <c r="EG176" s="45"/>
      <c r="EH176" s="45"/>
      <c r="EI176" s="45"/>
      <c r="EJ176" s="45"/>
      <c r="EK176" s="45"/>
      <c r="EL176" s="45"/>
      <c r="EM176" s="45"/>
      <c r="EN176" s="45"/>
      <c r="EO176" s="45"/>
      <c r="EP176" s="45"/>
      <c r="EQ176" s="45"/>
      <c r="ER176" s="45"/>
      <c r="ES176" s="45"/>
      <c r="ET176" s="45"/>
      <c r="EU176" s="45"/>
      <c r="EV176" s="45"/>
      <c r="EW176" s="45"/>
      <c r="EX176" s="45"/>
      <c r="EY176" s="45"/>
      <c r="EZ176" s="45"/>
      <c r="FA176" s="45"/>
      <c r="FB176" s="45"/>
      <c r="FC176" s="45"/>
      <c r="FD176" s="45"/>
      <c r="FE176" s="45"/>
      <c r="FF176" s="45"/>
      <c r="FG176" s="45"/>
      <c r="FH176" s="45"/>
      <c r="FI176" s="45"/>
      <c r="FJ176" s="45"/>
      <c r="FK176" s="45"/>
      <c r="FL176" s="45"/>
      <c r="FM176" s="45"/>
      <c r="FN176" s="45"/>
      <c r="FO176" s="45"/>
      <c r="FP176" s="45"/>
      <c r="FQ176" s="45"/>
      <c r="FR176" s="45"/>
      <c r="FS176" s="45"/>
      <c r="FT176" s="45"/>
      <c r="FU176" s="45"/>
      <c r="FV176" s="45"/>
      <c r="FW176" s="45"/>
      <c r="FX176" s="45"/>
      <c r="FY176" s="45"/>
      <c r="FZ176" s="45"/>
      <c r="GA176" s="45"/>
      <c r="GB176" s="45"/>
      <c r="GC176" s="45"/>
    </row>
    <row r="177" spans="1:185" ht="30" x14ac:dyDescent="0.25">
      <c r="A177" s="116" t="s">
        <v>123</v>
      </c>
      <c r="B177" s="49">
        <f>'2 уровень'!C289</f>
        <v>24500</v>
      </c>
      <c r="C177" s="49">
        <f>'2 уровень'!D289</f>
        <v>16333</v>
      </c>
      <c r="D177" s="49">
        <f>'2 уровень'!E289</f>
        <v>17910</v>
      </c>
      <c r="E177" s="180">
        <f>'2 уровень'!F289</f>
        <v>109.65529908773648</v>
      </c>
      <c r="F177" s="62">
        <f>'2 уровень'!G289</f>
        <v>23843.89</v>
      </c>
      <c r="G177" s="62">
        <f>'2 уровень'!H289</f>
        <v>15895.93</v>
      </c>
      <c r="H177" s="62">
        <f>'2 уровень'!I289</f>
        <v>17340.115469999997</v>
      </c>
      <c r="I177" s="62">
        <f>'2 уровень'!J289</f>
        <v>109.0852530805055</v>
      </c>
      <c r="J177" s="103"/>
      <c r="K177" s="103"/>
      <c r="L177" s="103"/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  <c r="X177" s="45"/>
      <c r="Y177" s="45"/>
      <c r="Z177" s="45"/>
      <c r="AA177" s="45"/>
      <c r="AB177" s="45"/>
      <c r="AC177" s="45"/>
      <c r="AD177" s="45"/>
      <c r="AE177" s="45"/>
      <c r="AF177" s="45"/>
      <c r="AG177" s="45"/>
      <c r="AH177" s="45"/>
      <c r="AI177" s="45"/>
      <c r="AJ177" s="45"/>
      <c r="AK177" s="45"/>
      <c r="AL177" s="45"/>
      <c r="AM177" s="45"/>
      <c r="AN177" s="45"/>
      <c r="AO177" s="45"/>
      <c r="AP177" s="45"/>
      <c r="AQ177" s="45"/>
      <c r="AR177" s="45"/>
      <c r="AS177" s="45"/>
      <c r="AT177" s="45"/>
      <c r="AU177" s="45"/>
      <c r="AV177" s="45"/>
      <c r="AW177" s="45"/>
      <c r="AX177" s="45"/>
      <c r="AY177" s="45"/>
      <c r="AZ177" s="45"/>
      <c r="BA177" s="45"/>
      <c r="BB177" s="45"/>
      <c r="BC177" s="45"/>
      <c r="BD177" s="45"/>
      <c r="BE177" s="45"/>
      <c r="BF177" s="45"/>
      <c r="BG177" s="45"/>
      <c r="BH177" s="45"/>
      <c r="BI177" s="45"/>
      <c r="BJ177" s="45"/>
      <c r="BK177" s="45"/>
      <c r="BL177" s="45"/>
      <c r="BM177" s="45"/>
      <c r="BN177" s="45"/>
      <c r="BO177" s="45"/>
      <c r="BP177" s="45"/>
      <c r="BQ177" s="45"/>
      <c r="BR177" s="45"/>
      <c r="BS177" s="45"/>
      <c r="BT177" s="45"/>
      <c r="BU177" s="45"/>
      <c r="BV177" s="45"/>
      <c r="BW177" s="45"/>
      <c r="BX177" s="45"/>
      <c r="BY177" s="45"/>
      <c r="BZ177" s="45"/>
      <c r="CA177" s="45"/>
      <c r="CB177" s="45"/>
      <c r="CC177" s="45"/>
      <c r="CD177" s="45"/>
      <c r="CE177" s="45"/>
      <c r="CF177" s="45"/>
      <c r="CG177" s="45"/>
      <c r="CH177" s="45"/>
      <c r="CI177" s="45"/>
      <c r="CJ177" s="45"/>
      <c r="CK177" s="45"/>
      <c r="CL177" s="45"/>
      <c r="CM177" s="45"/>
      <c r="CN177" s="45"/>
      <c r="CO177" s="45"/>
      <c r="CP177" s="45"/>
      <c r="CQ177" s="45"/>
      <c r="CR177" s="45"/>
      <c r="CS177" s="45"/>
      <c r="CT177" s="45"/>
      <c r="CU177" s="45"/>
      <c r="CV177" s="45"/>
      <c r="CW177" s="45"/>
      <c r="CX177" s="45"/>
      <c r="CY177" s="45"/>
      <c r="CZ177" s="45"/>
      <c r="DA177" s="45"/>
      <c r="DB177" s="45"/>
      <c r="DC177" s="45"/>
      <c r="DD177" s="45"/>
      <c r="DE177" s="45"/>
      <c r="DF177" s="45"/>
      <c r="DG177" s="45"/>
      <c r="DH177" s="45"/>
      <c r="DI177" s="45"/>
      <c r="DJ177" s="45"/>
      <c r="DK177" s="45"/>
      <c r="DL177" s="45"/>
      <c r="DM177" s="45"/>
      <c r="DN177" s="45"/>
      <c r="DO177" s="45"/>
      <c r="DP177" s="45"/>
      <c r="DQ177" s="45"/>
      <c r="DR177" s="45"/>
      <c r="DS177" s="45"/>
      <c r="DT177" s="45"/>
      <c r="DU177" s="45"/>
      <c r="DV177" s="45"/>
      <c r="DW177" s="45"/>
      <c r="DX177" s="45"/>
      <c r="DY177" s="45"/>
      <c r="DZ177" s="45"/>
      <c r="EA177" s="45"/>
      <c r="EB177" s="45"/>
      <c r="EC177" s="45"/>
      <c r="ED177" s="45"/>
      <c r="EE177" s="45"/>
      <c r="EF177" s="45"/>
      <c r="EG177" s="45"/>
      <c r="EH177" s="45"/>
      <c r="EI177" s="45"/>
      <c r="EJ177" s="45"/>
      <c r="EK177" s="45"/>
      <c r="EL177" s="45"/>
      <c r="EM177" s="45"/>
      <c r="EN177" s="45"/>
      <c r="EO177" s="45"/>
      <c r="EP177" s="45"/>
      <c r="EQ177" s="45"/>
      <c r="ER177" s="45"/>
      <c r="ES177" s="45"/>
      <c r="ET177" s="45"/>
      <c r="EU177" s="45"/>
      <c r="EV177" s="45"/>
      <c r="EW177" s="45"/>
      <c r="EX177" s="45"/>
      <c r="EY177" s="45"/>
      <c r="EZ177" s="45"/>
      <c r="FA177" s="45"/>
      <c r="FB177" s="45"/>
      <c r="FC177" s="45"/>
      <c r="FD177" s="45"/>
      <c r="FE177" s="45"/>
      <c r="FF177" s="45"/>
      <c r="FG177" s="45"/>
      <c r="FH177" s="45"/>
      <c r="FI177" s="45"/>
      <c r="FJ177" s="45"/>
      <c r="FK177" s="45"/>
      <c r="FL177" s="45"/>
      <c r="FM177" s="45"/>
      <c r="FN177" s="45"/>
      <c r="FO177" s="45"/>
      <c r="FP177" s="45"/>
      <c r="FQ177" s="45"/>
      <c r="FR177" s="45"/>
      <c r="FS177" s="45"/>
      <c r="FT177" s="45"/>
      <c r="FU177" s="45"/>
      <c r="FV177" s="45"/>
      <c r="FW177" s="45"/>
      <c r="FX177" s="45"/>
      <c r="FY177" s="45"/>
      <c r="FZ177" s="45"/>
      <c r="GA177" s="45"/>
      <c r="GB177" s="45"/>
      <c r="GC177" s="45"/>
    </row>
    <row r="178" spans="1:185" ht="30" x14ac:dyDescent="0.25">
      <c r="A178" s="116" t="s">
        <v>124</v>
      </c>
      <c r="B178" s="49">
        <f>'2 уровень'!C290</f>
        <v>2200</v>
      </c>
      <c r="C178" s="49">
        <f>'2 уровень'!D290</f>
        <v>1467</v>
      </c>
      <c r="D178" s="49">
        <f>'2 уровень'!E290</f>
        <v>672</v>
      </c>
      <c r="E178" s="180">
        <f>'2 уровень'!F290</f>
        <v>45.807770961145195</v>
      </c>
      <c r="F178" s="62">
        <f>'2 уровень'!G290</f>
        <v>2141.0839999999998</v>
      </c>
      <c r="G178" s="62">
        <f>'2 уровень'!H290</f>
        <v>1427.39</v>
      </c>
      <c r="H178" s="62">
        <f>'2 уровень'!I290</f>
        <v>646.48666999999989</v>
      </c>
      <c r="I178" s="62">
        <f>'2 уровень'!J290</f>
        <v>45.291522989512316</v>
      </c>
      <c r="J178" s="103"/>
      <c r="K178" s="103"/>
      <c r="L178" s="103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5"/>
      <c r="Y178" s="45"/>
      <c r="Z178" s="45"/>
      <c r="AA178" s="45"/>
      <c r="AB178" s="45"/>
      <c r="AC178" s="45"/>
      <c r="AD178" s="45"/>
      <c r="AE178" s="45"/>
      <c r="AF178" s="45"/>
      <c r="AG178" s="45"/>
      <c r="AH178" s="45"/>
      <c r="AI178" s="45"/>
      <c r="AJ178" s="45"/>
      <c r="AK178" s="45"/>
      <c r="AL178" s="45"/>
      <c r="AM178" s="45"/>
      <c r="AN178" s="45"/>
      <c r="AO178" s="45"/>
      <c r="AP178" s="45"/>
      <c r="AQ178" s="45"/>
      <c r="AR178" s="45"/>
      <c r="AS178" s="45"/>
      <c r="AT178" s="45"/>
      <c r="AU178" s="45"/>
      <c r="AV178" s="45"/>
      <c r="AW178" s="45"/>
      <c r="AX178" s="45"/>
      <c r="AY178" s="45"/>
      <c r="AZ178" s="45"/>
      <c r="BA178" s="45"/>
      <c r="BB178" s="45"/>
      <c r="BC178" s="45"/>
      <c r="BD178" s="45"/>
      <c r="BE178" s="45"/>
      <c r="BF178" s="45"/>
      <c r="BG178" s="45"/>
      <c r="BH178" s="45"/>
      <c r="BI178" s="45"/>
      <c r="BJ178" s="45"/>
      <c r="BK178" s="45"/>
      <c r="BL178" s="45"/>
      <c r="BM178" s="45"/>
      <c r="BN178" s="45"/>
      <c r="BO178" s="45"/>
      <c r="BP178" s="45"/>
      <c r="BQ178" s="45"/>
      <c r="BR178" s="45"/>
      <c r="BS178" s="45"/>
      <c r="BT178" s="45"/>
      <c r="BU178" s="45"/>
      <c r="BV178" s="45"/>
      <c r="BW178" s="45"/>
      <c r="BX178" s="45"/>
      <c r="BY178" s="45"/>
      <c r="BZ178" s="45"/>
      <c r="CA178" s="45"/>
      <c r="CB178" s="45"/>
      <c r="CC178" s="45"/>
      <c r="CD178" s="45"/>
      <c r="CE178" s="45"/>
      <c r="CF178" s="45"/>
      <c r="CG178" s="45"/>
      <c r="CH178" s="45"/>
      <c r="CI178" s="45"/>
      <c r="CJ178" s="45"/>
      <c r="CK178" s="45"/>
      <c r="CL178" s="45"/>
      <c r="CM178" s="45"/>
      <c r="CN178" s="45"/>
      <c r="CO178" s="45"/>
      <c r="CP178" s="45"/>
      <c r="CQ178" s="45"/>
      <c r="CR178" s="45"/>
      <c r="CS178" s="45"/>
      <c r="CT178" s="45"/>
      <c r="CU178" s="45"/>
      <c r="CV178" s="45"/>
      <c r="CW178" s="45"/>
      <c r="CX178" s="45"/>
      <c r="CY178" s="45"/>
      <c r="CZ178" s="45"/>
      <c r="DA178" s="45"/>
      <c r="DB178" s="45"/>
      <c r="DC178" s="45"/>
      <c r="DD178" s="45"/>
      <c r="DE178" s="45"/>
      <c r="DF178" s="45"/>
      <c r="DG178" s="45"/>
      <c r="DH178" s="45"/>
      <c r="DI178" s="45"/>
      <c r="DJ178" s="45"/>
      <c r="DK178" s="45"/>
      <c r="DL178" s="45"/>
      <c r="DM178" s="45"/>
      <c r="DN178" s="45"/>
      <c r="DO178" s="45"/>
      <c r="DP178" s="45"/>
      <c r="DQ178" s="45"/>
      <c r="DR178" s="45"/>
      <c r="DS178" s="45"/>
      <c r="DT178" s="45"/>
      <c r="DU178" s="45"/>
      <c r="DV178" s="45"/>
      <c r="DW178" s="45"/>
      <c r="DX178" s="45"/>
      <c r="DY178" s="45"/>
      <c r="DZ178" s="45"/>
      <c r="EA178" s="45"/>
      <c r="EB178" s="45"/>
      <c r="EC178" s="45"/>
      <c r="ED178" s="45"/>
      <c r="EE178" s="45"/>
      <c r="EF178" s="45"/>
      <c r="EG178" s="45"/>
      <c r="EH178" s="45"/>
      <c r="EI178" s="45"/>
      <c r="EJ178" s="45"/>
      <c r="EK178" s="45"/>
      <c r="EL178" s="45"/>
      <c r="EM178" s="45"/>
      <c r="EN178" s="45"/>
      <c r="EO178" s="45"/>
      <c r="EP178" s="45"/>
      <c r="EQ178" s="45"/>
      <c r="ER178" s="45"/>
      <c r="ES178" s="45"/>
      <c r="ET178" s="45"/>
      <c r="EU178" s="45"/>
      <c r="EV178" s="45"/>
      <c r="EW178" s="45"/>
      <c r="EX178" s="45"/>
      <c r="EY178" s="45"/>
      <c r="EZ178" s="45"/>
      <c r="FA178" s="45"/>
      <c r="FB178" s="45"/>
      <c r="FC178" s="45"/>
      <c r="FD178" s="45"/>
      <c r="FE178" s="45"/>
      <c r="FF178" s="45"/>
      <c r="FG178" s="45"/>
      <c r="FH178" s="45"/>
      <c r="FI178" s="45"/>
      <c r="FJ178" s="45"/>
      <c r="FK178" s="45"/>
      <c r="FL178" s="45"/>
      <c r="FM178" s="45"/>
      <c r="FN178" s="45"/>
      <c r="FO178" s="45"/>
      <c r="FP178" s="45"/>
      <c r="FQ178" s="45"/>
      <c r="FR178" s="45"/>
      <c r="FS178" s="45"/>
      <c r="FT178" s="45"/>
      <c r="FU178" s="45"/>
      <c r="FV178" s="45"/>
      <c r="FW178" s="45"/>
      <c r="FX178" s="45"/>
      <c r="FY178" s="45"/>
      <c r="FZ178" s="45"/>
      <c r="GA178" s="45"/>
      <c r="GB178" s="45"/>
      <c r="GC178" s="45"/>
    </row>
    <row r="179" spans="1:185" ht="30" x14ac:dyDescent="0.25">
      <c r="A179" s="116" t="s">
        <v>125</v>
      </c>
      <c r="B179" s="49">
        <f>'2 уровень'!C291</f>
        <v>0</v>
      </c>
      <c r="C179" s="49">
        <f>'2 уровень'!D291</f>
        <v>0</v>
      </c>
      <c r="D179" s="49">
        <f>'2 уровень'!E291</f>
        <v>0</v>
      </c>
      <c r="E179" s="180">
        <f>'2 уровень'!F291</f>
        <v>0</v>
      </c>
      <c r="F179" s="62">
        <f>'2 уровень'!G291</f>
        <v>0</v>
      </c>
      <c r="G179" s="62">
        <f>'2 уровень'!H291</f>
        <v>0</v>
      </c>
      <c r="H179" s="62">
        <f>'2 уровень'!I291</f>
        <v>0</v>
      </c>
      <c r="I179" s="62">
        <f>'2 уровень'!J291</f>
        <v>0</v>
      </c>
      <c r="J179" s="103"/>
      <c r="K179" s="103"/>
      <c r="L179" s="103"/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  <c r="X179" s="45"/>
      <c r="Y179" s="45"/>
      <c r="Z179" s="45"/>
      <c r="AA179" s="45"/>
      <c r="AB179" s="45"/>
      <c r="AC179" s="45"/>
      <c r="AD179" s="45"/>
      <c r="AE179" s="45"/>
      <c r="AF179" s="45"/>
      <c r="AG179" s="45"/>
      <c r="AH179" s="45"/>
      <c r="AI179" s="45"/>
      <c r="AJ179" s="45"/>
      <c r="AK179" s="45"/>
      <c r="AL179" s="45"/>
      <c r="AM179" s="45"/>
      <c r="AN179" s="45"/>
      <c r="AO179" s="45"/>
      <c r="AP179" s="45"/>
      <c r="AQ179" s="45"/>
      <c r="AR179" s="45"/>
      <c r="AS179" s="45"/>
      <c r="AT179" s="45"/>
      <c r="AU179" s="45"/>
      <c r="AV179" s="45"/>
      <c r="AW179" s="45"/>
      <c r="AX179" s="45"/>
      <c r="AY179" s="45"/>
      <c r="AZ179" s="45"/>
      <c r="BA179" s="45"/>
      <c r="BB179" s="45"/>
      <c r="BC179" s="45"/>
      <c r="BD179" s="45"/>
      <c r="BE179" s="45"/>
      <c r="BF179" s="45"/>
      <c r="BG179" s="45"/>
      <c r="BH179" s="45"/>
      <c r="BI179" s="45"/>
      <c r="BJ179" s="45"/>
      <c r="BK179" s="45"/>
      <c r="BL179" s="45"/>
      <c r="BM179" s="45"/>
      <c r="BN179" s="45"/>
      <c r="BO179" s="45"/>
      <c r="BP179" s="45"/>
      <c r="BQ179" s="45"/>
      <c r="BR179" s="45"/>
      <c r="BS179" s="45"/>
      <c r="BT179" s="45"/>
      <c r="BU179" s="45"/>
      <c r="BV179" s="45"/>
      <c r="BW179" s="45"/>
      <c r="BX179" s="45"/>
      <c r="BY179" s="45"/>
      <c r="BZ179" s="45"/>
      <c r="CA179" s="45"/>
      <c r="CB179" s="45"/>
      <c r="CC179" s="45"/>
      <c r="CD179" s="45"/>
      <c r="CE179" s="45"/>
      <c r="CF179" s="45"/>
      <c r="CG179" s="45"/>
      <c r="CH179" s="45"/>
      <c r="CI179" s="45"/>
      <c r="CJ179" s="45"/>
      <c r="CK179" s="45"/>
      <c r="CL179" s="45"/>
      <c r="CM179" s="45"/>
      <c r="CN179" s="45"/>
      <c r="CO179" s="45"/>
      <c r="CP179" s="45"/>
      <c r="CQ179" s="45"/>
      <c r="CR179" s="45"/>
      <c r="CS179" s="45"/>
      <c r="CT179" s="45"/>
      <c r="CU179" s="45"/>
      <c r="CV179" s="45"/>
      <c r="CW179" s="45"/>
      <c r="CX179" s="45"/>
      <c r="CY179" s="45"/>
      <c r="CZ179" s="45"/>
      <c r="DA179" s="45"/>
      <c r="DB179" s="45"/>
      <c r="DC179" s="45"/>
      <c r="DD179" s="45"/>
      <c r="DE179" s="45"/>
      <c r="DF179" s="45"/>
      <c r="DG179" s="45"/>
      <c r="DH179" s="45"/>
      <c r="DI179" s="45"/>
      <c r="DJ179" s="45"/>
      <c r="DK179" s="45"/>
      <c r="DL179" s="45"/>
      <c r="DM179" s="45"/>
      <c r="DN179" s="45"/>
      <c r="DO179" s="45"/>
      <c r="DP179" s="45"/>
      <c r="DQ179" s="45"/>
      <c r="DR179" s="45"/>
      <c r="DS179" s="45"/>
      <c r="DT179" s="45"/>
      <c r="DU179" s="45"/>
      <c r="DV179" s="45"/>
      <c r="DW179" s="45"/>
      <c r="DX179" s="45"/>
      <c r="DY179" s="45"/>
      <c r="DZ179" s="45"/>
      <c r="EA179" s="45"/>
      <c r="EB179" s="45"/>
      <c r="EC179" s="45"/>
      <c r="ED179" s="45"/>
      <c r="EE179" s="45"/>
      <c r="EF179" s="45"/>
      <c r="EG179" s="45"/>
      <c r="EH179" s="45"/>
      <c r="EI179" s="45"/>
      <c r="EJ179" s="45"/>
      <c r="EK179" s="45"/>
      <c r="EL179" s="45"/>
      <c r="EM179" s="45"/>
      <c r="EN179" s="45"/>
      <c r="EO179" s="45"/>
      <c r="EP179" s="45"/>
      <c r="EQ179" s="45"/>
      <c r="ER179" s="45"/>
      <c r="ES179" s="45"/>
      <c r="ET179" s="45"/>
      <c r="EU179" s="45"/>
      <c r="EV179" s="45"/>
      <c r="EW179" s="45"/>
      <c r="EX179" s="45"/>
      <c r="EY179" s="45"/>
      <c r="EZ179" s="45"/>
      <c r="FA179" s="45"/>
      <c r="FB179" s="45"/>
      <c r="FC179" s="45"/>
      <c r="FD179" s="45"/>
      <c r="FE179" s="45"/>
      <c r="FF179" s="45"/>
      <c r="FG179" s="45"/>
      <c r="FH179" s="45"/>
      <c r="FI179" s="45"/>
      <c r="FJ179" s="45"/>
      <c r="FK179" s="45"/>
      <c r="FL179" s="45"/>
      <c r="FM179" s="45"/>
      <c r="FN179" s="45"/>
      <c r="FO179" s="45"/>
      <c r="FP179" s="45"/>
      <c r="FQ179" s="45"/>
      <c r="FR179" s="45"/>
      <c r="FS179" s="45"/>
      <c r="FT179" s="45"/>
      <c r="FU179" s="45"/>
      <c r="FV179" s="45"/>
      <c r="FW179" s="45"/>
      <c r="FX179" s="45"/>
      <c r="FY179" s="45"/>
      <c r="FZ179" s="45"/>
      <c r="GA179" s="45"/>
      <c r="GB179" s="45"/>
      <c r="GC179" s="45"/>
    </row>
    <row r="180" spans="1:185" ht="15.75" thickBot="1" x14ac:dyDescent="0.3">
      <c r="A180" s="112" t="s">
        <v>4</v>
      </c>
      <c r="B180" s="49">
        <f>'2 уровень'!C292</f>
        <v>0</v>
      </c>
      <c r="C180" s="49">
        <f>'2 уровень'!D292</f>
        <v>0</v>
      </c>
      <c r="D180" s="49">
        <f>'2 уровень'!E292</f>
        <v>0</v>
      </c>
      <c r="E180" s="180">
        <f>'2 уровень'!F292</f>
        <v>0</v>
      </c>
      <c r="F180" s="62">
        <f>'2 уровень'!G292</f>
        <v>59815.193630000002</v>
      </c>
      <c r="G180" s="62">
        <f>'2 уровень'!H292</f>
        <v>39876.800000000003</v>
      </c>
      <c r="H180" s="62">
        <f>'2 уровень'!I292</f>
        <v>41342.779869999998</v>
      </c>
      <c r="I180" s="62">
        <f>'2 уровень'!J292</f>
        <v>103.67627259459134</v>
      </c>
      <c r="J180" s="103"/>
      <c r="L180" s="727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  <c r="Z180" s="45"/>
      <c r="AA180" s="45"/>
      <c r="AB180" s="45"/>
      <c r="AC180" s="45"/>
      <c r="AD180" s="45"/>
      <c r="AE180" s="45"/>
      <c r="AF180" s="45"/>
      <c r="AG180" s="45"/>
      <c r="AH180" s="45"/>
      <c r="AI180" s="45"/>
      <c r="AJ180" s="45"/>
      <c r="AK180" s="45"/>
      <c r="AL180" s="45"/>
      <c r="AM180" s="45"/>
      <c r="AN180" s="45"/>
      <c r="AO180" s="45"/>
      <c r="AP180" s="45"/>
      <c r="AQ180" s="45"/>
      <c r="AR180" s="45"/>
      <c r="AS180" s="45"/>
      <c r="AT180" s="45"/>
      <c r="AU180" s="45"/>
      <c r="AV180" s="45"/>
      <c r="AW180" s="45"/>
      <c r="AX180" s="45"/>
      <c r="AY180" s="45"/>
      <c r="AZ180" s="45"/>
      <c r="BA180" s="45"/>
      <c r="BB180" s="45"/>
      <c r="BC180" s="45"/>
      <c r="BD180" s="45"/>
      <c r="BE180" s="45"/>
      <c r="BF180" s="45"/>
      <c r="BG180" s="45"/>
      <c r="BH180" s="45"/>
      <c r="BI180" s="45"/>
      <c r="BJ180" s="45"/>
      <c r="BK180" s="45"/>
      <c r="BL180" s="45"/>
      <c r="BM180" s="45"/>
      <c r="BN180" s="45"/>
      <c r="BO180" s="45"/>
      <c r="BP180" s="45"/>
      <c r="BQ180" s="45"/>
      <c r="BR180" s="45"/>
      <c r="BS180" s="45"/>
      <c r="BT180" s="45"/>
      <c r="BU180" s="45"/>
      <c r="BV180" s="45"/>
      <c r="BW180" s="45"/>
      <c r="BX180" s="45"/>
      <c r="BY180" s="45"/>
      <c r="BZ180" s="45"/>
      <c r="CA180" s="45"/>
      <c r="CB180" s="45"/>
      <c r="CC180" s="45"/>
      <c r="CD180" s="45"/>
      <c r="CE180" s="45"/>
      <c r="CF180" s="45"/>
      <c r="CG180" s="45"/>
      <c r="CH180" s="45"/>
      <c r="CI180" s="45"/>
      <c r="CJ180" s="45"/>
      <c r="CK180" s="45"/>
      <c r="CL180" s="45"/>
      <c r="CM180" s="45"/>
      <c r="CN180" s="45"/>
      <c r="CO180" s="45"/>
      <c r="CP180" s="45"/>
      <c r="CQ180" s="45"/>
      <c r="CR180" s="45"/>
      <c r="CS180" s="45"/>
      <c r="CT180" s="45"/>
      <c r="CU180" s="45"/>
      <c r="CV180" s="45"/>
      <c r="CW180" s="45"/>
      <c r="CX180" s="45"/>
      <c r="CY180" s="45"/>
      <c r="CZ180" s="45"/>
      <c r="DA180" s="45"/>
      <c r="DB180" s="45"/>
      <c r="DC180" s="45"/>
      <c r="DD180" s="45"/>
      <c r="DE180" s="45"/>
      <c r="DF180" s="45"/>
      <c r="DG180" s="45"/>
      <c r="DH180" s="45"/>
      <c r="DI180" s="45"/>
      <c r="DJ180" s="45"/>
      <c r="DK180" s="45"/>
      <c r="DL180" s="45"/>
      <c r="DM180" s="45"/>
      <c r="DN180" s="45"/>
      <c r="DO180" s="45"/>
      <c r="DP180" s="45"/>
      <c r="DQ180" s="45"/>
      <c r="DR180" s="45"/>
      <c r="DS180" s="45"/>
      <c r="DT180" s="45"/>
      <c r="DU180" s="45"/>
      <c r="DV180" s="45"/>
      <c r="DW180" s="45"/>
      <c r="DX180" s="45"/>
      <c r="DY180" s="45"/>
      <c r="DZ180" s="45"/>
      <c r="EA180" s="45"/>
      <c r="EB180" s="45"/>
      <c r="EC180" s="45"/>
      <c r="ED180" s="45"/>
      <c r="EE180" s="45"/>
      <c r="EF180" s="45"/>
      <c r="EG180" s="45"/>
      <c r="EH180" s="45"/>
      <c r="EI180" s="45"/>
      <c r="EJ180" s="45"/>
      <c r="EK180" s="45"/>
      <c r="EL180" s="45"/>
      <c r="EM180" s="45"/>
      <c r="EN180" s="45"/>
      <c r="EO180" s="45"/>
      <c r="EP180" s="45"/>
      <c r="EQ180" s="45"/>
      <c r="ER180" s="45"/>
      <c r="ES180" s="45"/>
      <c r="ET180" s="45"/>
      <c r="EU180" s="45"/>
      <c r="EV180" s="45"/>
      <c r="EW180" s="45"/>
      <c r="EX180" s="45"/>
      <c r="EY180" s="45"/>
      <c r="EZ180" s="45"/>
      <c r="FA180" s="45"/>
      <c r="FB180" s="45"/>
      <c r="FC180" s="45"/>
      <c r="FD180" s="45"/>
      <c r="FE180" s="45"/>
      <c r="FF180" s="45"/>
      <c r="FG180" s="45"/>
      <c r="FH180" s="45"/>
      <c r="FI180" s="45"/>
      <c r="FJ180" s="45"/>
      <c r="FK180" s="45"/>
      <c r="FL180" s="45"/>
      <c r="FM180" s="45"/>
      <c r="FN180" s="45"/>
      <c r="FO180" s="45"/>
      <c r="FP180" s="45"/>
      <c r="FQ180" s="45"/>
      <c r="FR180" s="45"/>
      <c r="FS180" s="45"/>
      <c r="FT180" s="45"/>
      <c r="FU180" s="45"/>
      <c r="FV180" s="45"/>
      <c r="FW180" s="45"/>
      <c r="FX180" s="45"/>
      <c r="FY180" s="45"/>
      <c r="FZ180" s="45"/>
      <c r="GA180" s="45"/>
      <c r="GB180" s="45"/>
      <c r="GC180" s="45"/>
    </row>
    <row r="181" spans="1:185" ht="15" customHeight="1" x14ac:dyDescent="0.25">
      <c r="A181" s="96" t="s">
        <v>27</v>
      </c>
      <c r="B181" s="97"/>
      <c r="C181" s="97"/>
      <c r="D181" s="97"/>
      <c r="E181" s="183"/>
      <c r="F181" s="98"/>
      <c r="G181" s="98"/>
      <c r="H181" s="98"/>
      <c r="I181" s="98"/>
      <c r="J181" s="103"/>
      <c r="L181" s="727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  <c r="Z181" s="45"/>
      <c r="AA181" s="45"/>
      <c r="AB181" s="45"/>
      <c r="AC181" s="45"/>
      <c r="AD181" s="45"/>
      <c r="AE181" s="45"/>
      <c r="AF181" s="45"/>
      <c r="AG181" s="45"/>
      <c r="AH181" s="45"/>
      <c r="AI181" s="45"/>
      <c r="AJ181" s="45"/>
      <c r="AK181" s="45"/>
      <c r="AL181" s="45"/>
      <c r="AM181" s="45"/>
      <c r="AN181" s="45"/>
      <c r="AO181" s="45"/>
      <c r="AP181" s="45"/>
      <c r="AQ181" s="45"/>
      <c r="AR181" s="45"/>
      <c r="AS181" s="45"/>
      <c r="AT181" s="45"/>
      <c r="AU181" s="45"/>
      <c r="AV181" s="45"/>
      <c r="AW181" s="45"/>
      <c r="AX181" s="45"/>
      <c r="AY181" s="45"/>
      <c r="AZ181" s="45"/>
      <c r="BA181" s="45"/>
      <c r="BB181" s="45"/>
      <c r="BC181" s="45"/>
      <c r="BD181" s="45"/>
      <c r="BE181" s="45"/>
      <c r="BF181" s="45"/>
      <c r="BG181" s="45"/>
      <c r="BH181" s="45"/>
      <c r="BI181" s="45"/>
      <c r="BJ181" s="45"/>
      <c r="BK181" s="45"/>
      <c r="BL181" s="45"/>
      <c r="BM181" s="45"/>
      <c r="BN181" s="45"/>
      <c r="BO181" s="45"/>
      <c r="BP181" s="45"/>
      <c r="BQ181" s="45"/>
      <c r="BR181" s="45"/>
      <c r="BS181" s="45"/>
      <c r="BT181" s="45"/>
      <c r="BU181" s="45"/>
      <c r="BV181" s="45"/>
      <c r="BW181" s="45"/>
      <c r="BX181" s="45"/>
      <c r="BY181" s="45"/>
      <c r="BZ181" s="45"/>
      <c r="CA181" s="45"/>
      <c r="CB181" s="45"/>
      <c r="CC181" s="45"/>
      <c r="CD181" s="45"/>
      <c r="CE181" s="45"/>
      <c r="CF181" s="45"/>
      <c r="CG181" s="45"/>
      <c r="CH181" s="45"/>
      <c r="CI181" s="45"/>
      <c r="CJ181" s="45"/>
      <c r="CK181" s="45"/>
      <c r="CL181" s="45"/>
      <c r="CM181" s="45"/>
      <c r="CN181" s="45"/>
      <c r="CO181" s="45"/>
      <c r="CP181" s="45"/>
      <c r="CQ181" s="45"/>
      <c r="CR181" s="45"/>
      <c r="CS181" s="45"/>
      <c r="CT181" s="45"/>
      <c r="CU181" s="45"/>
      <c r="CV181" s="45"/>
      <c r="CW181" s="45"/>
      <c r="CX181" s="45"/>
      <c r="CY181" s="45"/>
      <c r="CZ181" s="45"/>
      <c r="DA181" s="45"/>
      <c r="DB181" s="45"/>
      <c r="DC181" s="45"/>
      <c r="DD181" s="45"/>
      <c r="DE181" s="45"/>
      <c r="DF181" s="45"/>
      <c r="DG181" s="45"/>
      <c r="DH181" s="45"/>
      <c r="DI181" s="45"/>
      <c r="DJ181" s="45"/>
      <c r="DK181" s="45"/>
      <c r="DL181" s="45"/>
      <c r="DM181" s="45"/>
      <c r="DN181" s="45"/>
      <c r="DO181" s="45"/>
      <c r="DP181" s="45"/>
      <c r="DQ181" s="45"/>
      <c r="DR181" s="45"/>
      <c r="DS181" s="45"/>
      <c r="DT181" s="45"/>
      <c r="DU181" s="45"/>
      <c r="DV181" s="45"/>
      <c r="DW181" s="45"/>
      <c r="DX181" s="45"/>
      <c r="DY181" s="45"/>
      <c r="DZ181" s="45"/>
      <c r="EA181" s="45"/>
      <c r="EB181" s="45"/>
      <c r="EC181" s="45"/>
      <c r="ED181" s="45"/>
      <c r="EE181" s="45"/>
      <c r="EF181" s="45"/>
      <c r="EG181" s="45"/>
      <c r="EH181" s="45"/>
      <c r="EI181" s="45"/>
      <c r="EJ181" s="45"/>
      <c r="EK181" s="45"/>
      <c r="EL181" s="45"/>
      <c r="EM181" s="45"/>
      <c r="EN181" s="45"/>
      <c r="EO181" s="45"/>
      <c r="EP181" s="45"/>
      <c r="EQ181" s="45"/>
      <c r="ER181" s="45"/>
      <c r="ES181" s="45"/>
      <c r="ET181" s="45"/>
      <c r="EU181" s="45"/>
      <c r="EV181" s="45"/>
      <c r="EW181" s="45"/>
      <c r="EX181" s="45"/>
      <c r="EY181" s="45"/>
      <c r="EZ181" s="45"/>
      <c r="FA181" s="45"/>
      <c r="FB181" s="45"/>
      <c r="FC181" s="45"/>
      <c r="FD181" s="45"/>
      <c r="FE181" s="45"/>
      <c r="FF181" s="45"/>
      <c r="FG181" s="45"/>
      <c r="FH181" s="45"/>
      <c r="FI181" s="45"/>
      <c r="FJ181" s="45"/>
      <c r="FK181" s="45"/>
      <c r="FL181" s="45"/>
      <c r="FM181" s="45"/>
      <c r="FN181" s="45"/>
      <c r="FO181" s="45"/>
      <c r="FP181" s="45"/>
      <c r="FQ181" s="45"/>
      <c r="FR181" s="45"/>
      <c r="FS181" s="45"/>
      <c r="FT181" s="45"/>
      <c r="FU181" s="45"/>
      <c r="FV181" s="45"/>
      <c r="FW181" s="45"/>
      <c r="FX181" s="45"/>
      <c r="FY181" s="45"/>
      <c r="FZ181" s="45"/>
      <c r="GA181" s="45"/>
      <c r="GB181" s="45"/>
      <c r="GC181" s="45"/>
    </row>
    <row r="182" spans="1:185" ht="30" x14ac:dyDescent="0.25">
      <c r="A182" s="542" t="s">
        <v>120</v>
      </c>
      <c r="B182" s="539">
        <f>'2 уровень'!C308</f>
        <v>4861</v>
      </c>
      <c r="C182" s="539">
        <f>'2 уровень'!D308</f>
        <v>3241</v>
      </c>
      <c r="D182" s="539">
        <f>'2 уровень'!E308</f>
        <v>3383</v>
      </c>
      <c r="E182" s="540">
        <f>'2 уровень'!F308</f>
        <v>104.38136377661216</v>
      </c>
      <c r="F182" s="543">
        <f>'2 уровень'!G308</f>
        <v>8528.838310000001</v>
      </c>
      <c r="G182" s="543">
        <f>'2 уровень'!H308</f>
        <v>5685.89</v>
      </c>
      <c r="H182" s="543">
        <f>'2 уровень'!I308</f>
        <v>6520.0886600000003</v>
      </c>
      <c r="I182" s="543">
        <f>'2 уровень'!J308</f>
        <v>114.67138231657665</v>
      </c>
      <c r="J182" s="103"/>
      <c r="L182" s="727"/>
    </row>
    <row r="183" spans="1:185" ht="30" x14ac:dyDescent="0.25">
      <c r="A183" s="116" t="s">
        <v>79</v>
      </c>
      <c r="B183" s="49">
        <f>'2 уровень'!C309</f>
        <v>3562</v>
      </c>
      <c r="C183" s="49">
        <f>'2 уровень'!D309</f>
        <v>2375</v>
      </c>
      <c r="D183" s="49">
        <f>'2 уровень'!E309</f>
        <v>2352</v>
      </c>
      <c r="E183" s="180">
        <f>'2 уровень'!F309</f>
        <v>99.03157894736843</v>
      </c>
      <c r="F183" s="62">
        <f>'2 уровень'!G309</f>
        <v>5021.9764000000005</v>
      </c>
      <c r="G183" s="62">
        <f>'2 уровень'!H309</f>
        <v>3347.98</v>
      </c>
      <c r="H183" s="62">
        <f>'2 уровень'!I309</f>
        <v>3426.45667</v>
      </c>
      <c r="I183" s="62">
        <f>'2 уровень'!J309</f>
        <v>102.34400056153264</v>
      </c>
      <c r="J183" s="103"/>
      <c r="L183" s="727"/>
    </row>
    <row r="184" spans="1:185" ht="30" x14ac:dyDescent="0.25">
      <c r="A184" s="116" t="s">
        <v>80</v>
      </c>
      <c r="B184" s="49">
        <f>'2 уровень'!C310</f>
        <v>1069</v>
      </c>
      <c r="C184" s="49">
        <f>'2 уровень'!D310</f>
        <v>713</v>
      </c>
      <c r="D184" s="49">
        <f>'2 уровень'!E310</f>
        <v>784</v>
      </c>
      <c r="E184" s="180">
        <f>'2 уровень'!F310</f>
        <v>109.95792426367461</v>
      </c>
      <c r="F184" s="62">
        <f>'2 уровень'!G310</f>
        <v>1997.5835100000002</v>
      </c>
      <c r="G184" s="62">
        <f>'2 уровень'!H310</f>
        <v>1331.72</v>
      </c>
      <c r="H184" s="62">
        <f>'2 уровень'!I310</f>
        <v>1485.9227299999998</v>
      </c>
      <c r="I184" s="62">
        <f>'2 уровень'!J310</f>
        <v>111.57921560087705</v>
      </c>
      <c r="J184" s="103"/>
      <c r="L184" s="727"/>
    </row>
    <row r="185" spans="1:185" ht="45" x14ac:dyDescent="0.25">
      <c r="A185" s="116" t="s">
        <v>110</v>
      </c>
      <c r="B185" s="49">
        <f>'2 уровень'!C311</f>
        <v>80</v>
      </c>
      <c r="C185" s="49">
        <f>'2 уровень'!D311</f>
        <v>53</v>
      </c>
      <c r="D185" s="49">
        <f>'2 уровень'!E311</f>
        <v>95</v>
      </c>
      <c r="E185" s="180">
        <f>'2 уровень'!F311</f>
        <v>179.24528301886792</v>
      </c>
      <c r="F185" s="62">
        <f>'2 уровень'!G311</f>
        <v>524.96640000000002</v>
      </c>
      <c r="G185" s="62">
        <f>'2 уровень'!H311</f>
        <v>349.98</v>
      </c>
      <c r="H185" s="62">
        <f>'2 уровень'!I311</f>
        <v>623.39760000000001</v>
      </c>
      <c r="I185" s="62">
        <f>'2 уровень'!J311</f>
        <v>178.12377850162866</v>
      </c>
      <c r="J185" s="103"/>
      <c r="L185" s="727"/>
    </row>
    <row r="186" spans="1:185" ht="30" x14ac:dyDescent="0.25">
      <c r="A186" s="116" t="s">
        <v>111</v>
      </c>
      <c r="B186" s="49">
        <f>'2 уровень'!C312</f>
        <v>150</v>
      </c>
      <c r="C186" s="49">
        <f>'2 уровень'!D312</f>
        <v>100</v>
      </c>
      <c r="D186" s="49">
        <f>'2 уровень'!E312</f>
        <v>152</v>
      </c>
      <c r="E186" s="180">
        <f>'2 уровень'!F312</f>
        <v>152</v>
      </c>
      <c r="F186" s="62">
        <f>'2 уровень'!G312</f>
        <v>984.31200000000001</v>
      </c>
      <c r="G186" s="62">
        <f>'2 уровень'!H312</f>
        <v>656.21</v>
      </c>
      <c r="H186" s="62">
        <f>'2 уровень'!I312</f>
        <v>984.31166000000007</v>
      </c>
      <c r="I186" s="62">
        <f>'2 уровень'!J312</f>
        <v>149.9994910165953</v>
      </c>
      <c r="J186" s="103"/>
      <c r="L186" s="727"/>
    </row>
    <row r="187" spans="1:185" ht="30" x14ac:dyDescent="0.25">
      <c r="A187" s="542" t="s">
        <v>112</v>
      </c>
      <c r="B187" s="539">
        <f>'2 уровень'!C313</f>
        <v>11260</v>
      </c>
      <c r="C187" s="539">
        <f>'2 уровень'!D313</f>
        <v>7507</v>
      </c>
      <c r="D187" s="539">
        <f>'2 уровень'!E313</f>
        <v>4823</v>
      </c>
      <c r="E187" s="540">
        <f>'2 уровень'!F313</f>
        <v>64.246703077128004</v>
      </c>
      <c r="F187" s="543">
        <f>'2 уровень'!G313</f>
        <v>21966.778599999998</v>
      </c>
      <c r="G187" s="543">
        <f>'2 уровень'!H313</f>
        <v>14644.52</v>
      </c>
      <c r="H187" s="543">
        <f>'2 уровень'!I313</f>
        <v>12135.271679999998</v>
      </c>
      <c r="I187" s="543">
        <f>'2 уровень'!J313</f>
        <v>82.865615807141495</v>
      </c>
      <c r="J187" s="103"/>
      <c r="L187" s="727"/>
    </row>
    <row r="188" spans="1:185" ht="30" x14ac:dyDescent="0.25">
      <c r="A188" s="116" t="s">
        <v>108</v>
      </c>
      <c r="B188" s="49">
        <f>'2 уровень'!C314</f>
        <v>1500</v>
      </c>
      <c r="C188" s="49">
        <f>'2 уровень'!D314</f>
        <v>1000</v>
      </c>
      <c r="D188" s="49">
        <f>'2 уровень'!E314</f>
        <v>676</v>
      </c>
      <c r="E188" s="180">
        <f>'2 уровень'!F314</f>
        <v>67.600000000000009</v>
      </c>
      <c r="F188" s="62">
        <f>'2 уровень'!G314</f>
        <v>3180.7649999999999</v>
      </c>
      <c r="G188" s="62">
        <f>'2 уровень'!H314</f>
        <v>2120.5100000000002</v>
      </c>
      <c r="H188" s="62">
        <f>'2 уровень'!I314</f>
        <v>1407.4107799999999</v>
      </c>
      <c r="I188" s="62">
        <f>'2 уровень'!J314</f>
        <v>66.371334254495366</v>
      </c>
      <c r="J188" s="103"/>
      <c r="L188" s="727"/>
    </row>
    <row r="189" spans="1:185" ht="60" x14ac:dyDescent="0.25">
      <c r="A189" s="116" t="s">
        <v>81</v>
      </c>
      <c r="B189" s="49">
        <f>'2 уровень'!C315</f>
        <v>5200</v>
      </c>
      <c r="C189" s="49">
        <f>'2 уровень'!D315</f>
        <v>3467</v>
      </c>
      <c r="D189" s="49">
        <f>'2 уровень'!E315</f>
        <v>2989</v>
      </c>
      <c r="E189" s="180">
        <f>'2 уровень'!F315</f>
        <v>86.212864147678104</v>
      </c>
      <c r="F189" s="62">
        <f>'2 уровень'!G315</f>
        <v>14316.484</v>
      </c>
      <c r="G189" s="62">
        <f>'2 уровень'!H315</f>
        <v>9544.32</v>
      </c>
      <c r="H189" s="62">
        <f>'2 уровень'!I315</f>
        <v>9442.647799999997</v>
      </c>
      <c r="I189" s="62">
        <f>'2 уровень'!J315</f>
        <v>98.934736052437444</v>
      </c>
      <c r="J189" s="103"/>
      <c r="L189" s="727"/>
    </row>
    <row r="190" spans="1:185" ht="45" x14ac:dyDescent="0.25">
      <c r="A190" s="116" t="s">
        <v>109</v>
      </c>
      <c r="B190" s="49">
        <f>'2 уровень'!C316</f>
        <v>4560</v>
      </c>
      <c r="C190" s="49">
        <f>'2 уровень'!D316</f>
        <v>3040</v>
      </c>
      <c r="D190" s="49">
        <f>'2 уровень'!E316</f>
        <v>1158</v>
      </c>
      <c r="E190" s="180">
        <f>'2 уровень'!F316</f>
        <v>38.09210526315789</v>
      </c>
      <c r="F190" s="62">
        <f>'2 уровень'!G316</f>
        <v>4469.5295999999998</v>
      </c>
      <c r="G190" s="62">
        <f>'2 уровень'!H316</f>
        <v>2979.69</v>
      </c>
      <c r="H190" s="62">
        <f>'2 уровень'!I316</f>
        <v>1285.2131000000004</v>
      </c>
      <c r="I190" s="62">
        <f>'2 уровень'!J316</f>
        <v>43.132443307860896</v>
      </c>
      <c r="J190" s="103"/>
      <c r="L190" s="727"/>
    </row>
    <row r="191" spans="1:185" ht="30" x14ac:dyDescent="0.25">
      <c r="A191" s="116" t="s">
        <v>123</v>
      </c>
      <c r="B191" s="49">
        <f>'2 уровень'!C317</f>
        <v>15083</v>
      </c>
      <c r="C191" s="49">
        <f>'2 уровень'!D317</f>
        <v>10055</v>
      </c>
      <c r="D191" s="49">
        <f>'2 уровень'!E317</f>
        <v>4342</v>
      </c>
      <c r="E191" s="180">
        <f>'2 уровень'!F317</f>
        <v>43.182496270512182</v>
      </c>
      <c r="F191" s="62">
        <f>'2 уровень'!G317</f>
        <v>16224.550620000002</v>
      </c>
      <c r="G191" s="62">
        <f>'2 уровень'!H317</f>
        <v>10816.37</v>
      </c>
      <c r="H191" s="62">
        <f>'2 уровень'!I317</f>
        <v>4197.03658</v>
      </c>
      <c r="I191" s="62">
        <f>'2 уровень'!J317</f>
        <v>38.802635079975992</v>
      </c>
      <c r="J191" s="103"/>
      <c r="K191" s="103"/>
      <c r="L191" s="103"/>
    </row>
    <row r="192" spans="1:185" ht="30" x14ac:dyDescent="0.25">
      <c r="A192" s="116" t="s">
        <v>125</v>
      </c>
      <c r="B192" s="49">
        <f>'2 уровень'!C318</f>
        <v>1500</v>
      </c>
      <c r="C192" s="49">
        <f>'2 уровень'!D318</f>
        <v>1000</v>
      </c>
      <c r="D192" s="49">
        <f>'2 уровень'!E318</f>
        <v>1235</v>
      </c>
      <c r="E192" s="180">
        <f>'2 уровень'!F318</f>
        <v>123.50000000000001</v>
      </c>
      <c r="F192" s="62">
        <f>'2 уровень'!G318</f>
        <v>1459.8300000000002</v>
      </c>
      <c r="G192" s="62">
        <f>'2 уровень'!H318</f>
        <v>973.22</v>
      </c>
      <c r="H192" s="62">
        <f>'2 уровень'!I318</f>
        <v>1196.34628</v>
      </c>
      <c r="I192" s="62">
        <f>'2 уровень'!J318</f>
        <v>122.92660241260968</v>
      </c>
      <c r="J192" s="103"/>
      <c r="K192" s="103"/>
      <c r="L192" s="103"/>
      <c r="M192" s="45"/>
      <c r="N192" s="45"/>
      <c r="O192" s="45"/>
      <c r="P192" s="45"/>
      <c r="Q192" s="45"/>
      <c r="R192" s="45"/>
      <c r="S192" s="45"/>
      <c r="T192" s="45"/>
      <c r="U192" s="45"/>
      <c r="V192" s="45"/>
      <c r="W192" s="45"/>
      <c r="X192" s="45"/>
      <c r="Y192" s="45"/>
      <c r="Z192" s="45"/>
      <c r="AA192" s="45"/>
      <c r="AB192" s="45"/>
      <c r="AC192" s="45"/>
      <c r="AD192" s="45"/>
      <c r="AE192" s="45"/>
      <c r="AF192" s="45"/>
      <c r="AG192" s="45"/>
      <c r="AH192" s="45"/>
      <c r="AI192" s="45"/>
      <c r="AJ192" s="45"/>
      <c r="AK192" s="45"/>
      <c r="AL192" s="45"/>
      <c r="AM192" s="45"/>
      <c r="AN192" s="45"/>
      <c r="AO192" s="45"/>
      <c r="AP192" s="45"/>
      <c r="AQ192" s="45"/>
      <c r="AR192" s="45"/>
      <c r="AS192" s="45"/>
      <c r="AT192" s="45"/>
      <c r="AU192" s="45"/>
      <c r="AV192" s="45"/>
      <c r="AW192" s="45"/>
      <c r="AX192" s="45"/>
      <c r="AY192" s="45"/>
      <c r="AZ192" s="45"/>
      <c r="BA192" s="45"/>
      <c r="BB192" s="45"/>
      <c r="BC192" s="45"/>
      <c r="BD192" s="45"/>
      <c r="BE192" s="45"/>
      <c r="BF192" s="45"/>
      <c r="BG192" s="45"/>
      <c r="BH192" s="45"/>
      <c r="BI192" s="45"/>
      <c r="BJ192" s="45"/>
      <c r="BK192" s="45"/>
      <c r="BL192" s="45"/>
      <c r="BM192" s="45"/>
      <c r="BN192" s="45"/>
      <c r="BO192" s="45"/>
      <c r="BP192" s="45"/>
      <c r="BQ192" s="45"/>
      <c r="BR192" s="45"/>
      <c r="BS192" s="45"/>
      <c r="BT192" s="45"/>
      <c r="BU192" s="45"/>
      <c r="BV192" s="45"/>
      <c r="BW192" s="45"/>
      <c r="BX192" s="45"/>
      <c r="BY192" s="45"/>
      <c r="BZ192" s="45"/>
      <c r="CA192" s="45"/>
      <c r="CB192" s="45"/>
      <c r="CC192" s="45"/>
      <c r="CD192" s="45"/>
      <c r="CE192" s="45"/>
      <c r="CF192" s="45"/>
      <c r="CG192" s="45"/>
      <c r="CH192" s="45"/>
      <c r="CI192" s="45"/>
      <c r="CJ192" s="45"/>
      <c r="CK192" s="45"/>
      <c r="CL192" s="45"/>
      <c r="CM192" s="45"/>
      <c r="CN192" s="45"/>
      <c r="CO192" s="45"/>
      <c r="CP192" s="45"/>
      <c r="CQ192" s="45"/>
      <c r="CR192" s="45"/>
      <c r="CS192" s="45"/>
      <c r="CT192" s="45"/>
      <c r="CU192" s="45"/>
      <c r="CV192" s="45"/>
      <c r="CW192" s="45"/>
      <c r="CX192" s="45"/>
      <c r="CY192" s="45"/>
      <c r="CZ192" s="45"/>
      <c r="DA192" s="45"/>
      <c r="DB192" s="45"/>
      <c r="DC192" s="45"/>
      <c r="DD192" s="45"/>
      <c r="DE192" s="45"/>
      <c r="DF192" s="45"/>
      <c r="DG192" s="45"/>
      <c r="DH192" s="45"/>
      <c r="DI192" s="45"/>
      <c r="DJ192" s="45"/>
      <c r="DK192" s="45"/>
      <c r="DL192" s="45"/>
      <c r="DM192" s="45"/>
      <c r="DN192" s="45"/>
      <c r="DO192" s="45"/>
      <c r="DP192" s="45"/>
      <c r="DQ192" s="45"/>
      <c r="DR192" s="45"/>
      <c r="DS192" s="45"/>
      <c r="DT192" s="45"/>
      <c r="DU192" s="45"/>
      <c r="DV192" s="45"/>
      <c r="DW192" s="45"/>
      <c r="DX192" s="45"/>
      <c r="DY192" s="45"/>
      <c r="DZ192" s="45"/>
      <c r="EA192" s="45"/>
      <c r="EB192" s="45"/>
      <c r="EC192" s="45"/>
      <c r="ED192" s="45"/>
      <c r="EE192" s="45"/>
      <c r="EF192" s="45"/>
      <c r="EG192" s="45"/>
      <c r="EH192" s="45"/>
      <c r="EI192" s="45"/>
      <c r="EJ192" s="45"/>
      <c r="EK192" s="45"/>
      <c r="EL192" s="45"/>
      <c r="EM192" s="45"/>
      <c r="EN192" s="45"/>
      <c r="EO192" s="45"/>
      <c r="EP192" s="45"/>
      <c r="EQ192" s="45"/>
      <c r="ER192" s="45"/>
      <c r="ES192" s="45"/>
      <c r="ET192" s="45"/>
      <c r="EU192" s="45"/>
      <c r="EV192" s="45"/>
      <c r="EW192" s="45"/>
      <c r="EX192" s="45"/>
      <c r="EY192" s="45"/>
      <c r="EZ192" s="45"/>
      <c r="FA192" s="45"/>
      <c r="FB192" s="45"/>
      <c r="FC192" s="45"/>
      <c r="FD192" s="45"/>
      <c r="FE192" s="45"/>
      <c r="FF192" s="45"/>
      <c r="FG192" s="45"/>
      <c r="FH192" s="45"/>
      <c r="FI192" s="45"/>
      <c r="FJ192" s="45"/>
      <c r="FK192" s="45"/>
      <c r="FL192" s="45"/>
      <c r="FM192" s="45"/>
      <c r="FN192" s="45"/>
      <c r="FO192" s="45"/>
      <c r="FP192" s="45"/>
      <c r="FQ192" s="45"/>
      <c r="FR192" s="45"/>
      <c r="FS192" s="45"/>
      <c r="FT192" s="45"/>
      <c r="FU192" s="45"/>
      <c r="FV192" s="45"/>
      <c r="FW192" s="45"/>
      <c r="FX192" s="45"/>
      <c r="FY192" s="45"/>
      <c r="FZ192" s="45"/>
      <c r="GA192" s="45"/>
      <c r="GB192" s="45"/>
      <c r="GC192" s="45"/>
    </row>
    <row r="193" spans="1:185" ht="15.75" thickBot="1" x14ac:dyDescent="0.3">
      <c r="A193" s="112" t="s">
        <v>4</v>
      </c>
      <c r="B193" s="49">
        <f>'2 уровень'!C319</f>
        <v>0</v>
      </c>
      <c r="C193" s="49">
        <f>'2 уровень'!D319</f>
        <v>0</v>
      </c>
      <c r="D193" s="49">
        <f>'2 уровень'!E319</f>
        <v>0</v>
      </c>
      <c r="E193" s="180">
        <f>'2 уровень'!F319</f>
        <v>0</v>
      </c>
      <c r="F193" s="62">
        <f>'2 уровень'!G319</f>
        <v>46720.167529999999</v>
      </c>
      <c r="G193" s="62">
        <f>'2 уровень'!H319</f>
        <v>31146.78</v>
      </c>
      <c r="H193" s="62">
        <f>'2 уровень'!I319</f>
        <v>22852.396919999999</v>
      </c>
      <c r="I193" s="62">
        <f>'2 уровень'!J319</f>
        <v>73.370014235821486</v>
      </c>
      <c r="J193" s="103"/>
      <c r="L193" s="727"/>
    </row>
    <row r="194" spans="1:185" ht="15" customHeight="1" x14ac:dyDescent="0.25">
      <c r="A194" s="221" t="s">
        <v>28</v>
      </c>
      <c r="B194" s="97"/>
      <c r="C194" s="97"/>
      <c r="D194" s="97"/>
      <c r="E194" s="183"/>
      <c r="F194" s="98"/>
      <c r="G194" s="98"/>
      <c r="H194" s="98"/>
      <c r="I194" s="98"/>
      <c r="J194" s="103"/>
      <c r="L194" s="727"/>
    </row>
    <row r="195" spans="1:185" ht="30" x14ac:dyDescent="0.25">
      <c r="A195" s="542" t="s">
        <v>120</v>
      </c>
      <c r="B195" s="539">
        <f>'Охотск '!B21</f>
        <v>1227</v>
      </c>
      <c r="C195" s="539">
        <f>'Охотск '!C21</f>
        <v>818</v>
      </c>
      <c r="D195" s="539">
        <f>'Охотск '!D21</f>
        <v>630</v>
      </c>
      <c r="E195" s="540">
        <f>'Охотск '!E21</f>
        <v>77.017114914425434</v>
      </c>
      <c r="F195" s="568">
        <f>'Охотск '!F21</f>
        <v>3253.9132599999998</v>
      </c>
      <c r="G195" s="568">
        <f>'Охотск '!G21</f>
        <v>2169.27</v>
      </c>
      <c r="H195" s="568">
        <f>'Охотск '!H21</f>
        <v>1838.9934899999998</v>
      </c>
      <c r="I195" s="568">
        <f>'Охотск '!I21</f>
        <v>84.774762477699866</v>
      </c>
      <c r="J195" s="103"/>
      <c r="L195" s="727"/>
    </row>
    <row r="196" spans="1:185" ht="30" x14ac:dyDescent="0.25">
      <c r="A196" s="116" t="s">
        <v>79</v>
      </c>
      <c r="B196" s="49">
        <f>'Охотск '!B22</f>
        <v>900</v>
      </c>
      <c r="C196" s="49">
        <f>'Охотск '!C22</f>
        <v>600</v>
      </c>
      <c r="D196" s="49">
        <f>'Охотск '!D22</f>
        <v>562</v>
      </c>
      <c r="E196" s="180">
        <f>'Охотск '!E22</f>
        <v>93.666666666666671</v>
      </c>
      <c r="F196" s="65">
        <f>'Охотск '!F22</f>
        <v>1940.569</v>
      </c>
      <c r="G196" s="65">
        <f>'Охотск '!G22</f>
        <v>1293.71</v>
      </c>
      <c r="H196" s="65">
        <f>'Охотск '!H22</f>
        <v>1273.28117</v>
      </c>
      <c r="I196" s="65">
        <f>'Охотск '!I22</f>
        <v>98.420911177930137</v>
      </c>
      <c r="J196" s="103"/>
      <c r="L196" s="727"/>
    </row>
    <row r="197" spans="1:185" ht="30" x14ac:dyDescent="0.25">
      <c r="A197" s="116" t="s">
        <v>80</v>
      </c>
      <c r="B197" s="49">
        <f>'Охотск '!B23</f>
        <v>270</v>
      </c>
      <c r="C197" s="49">
        <f>'Охотск '!C23</f>
        <v>180</v>
      </c>
      <c r="D197" s="49">
        <f>'Охотск '!D23</f>
        <v>15</v>
      </c>
      <c r="E197" s="180">
        <f>'Охотск '!E23</f>
        <v>8.3333333333333321</v>
      </c>
      <c r="F197" s="65">
        <f>'Охотск '!F23</f>
        <v>741.1543200000001</v>
      </c>
      <c r="G197" s="65">
        <f>'Охотск '!G23</f>
        <v>494.1</v>
      </c>
      <c r="H197" s="65">
        <f>'Охотск '!H23</f>
        <v>33.67606</v>
      </c>
      <c r="I197" s="65">
        <f>'Охотск '!I23</f>
        <v>6.8156365108277672</v>
      </c>
      <c r="J197" s="103"/>
      <c r="L197" s="727"/>
    </row>
    <row r="198" spans="1:185" ht="45" x14ac:dyDescent="0.25">
      <c r="A198" s="116" t="s">
        <v>110</v>
      </c>
      <c r="B198" s="49">
        <f>'Охотск '!B24</f>
        <v>20</v>
      </c>
      <c r="C198" s="49">
        <f>'Охотск '!C24</f>
        <v>13</v>
      </c>
      <c r="D198" s="49">
        <f>'Охотск '!D24</f>
        <v>20</v>
      </c>
      <c r="E198" s="180">
        <f>'Охотск '!E24</f>
        <v>153.84615384615387</v>
      </c>
      <c r="F198" s="65">
        <f>'Охотск '!F24</f>
        <v>200.76839999999999</v>
      </c>
      <c r="G198" s="65">
        <f>'Охотск '!G24</f>
        <v>133.85</v>
      </c>
      <c r="H198" s="65">
        <f>'Охотск '!H24</f>
        <v>200.76839999999999</v>
      </c>
      <c r="I198" s="65">
        <f>'Охотск '!I24</f>
        <v>149.99506910720956</v>
      </c>
      <c r="J198" s="103"/>
      <c r="L198" s="727"/>
    </row>
    <row r="199" spans="1:185" ht="30" x14ac:dyDescent="0.25">
      <c r="A199" s="116" t="s">
        <v>111</v>
      </c>
      <c r="B199" s="49">
        <f>'Охотск '!B25</f>
        <v>37</v>
      </c>
      <c r="C199" s="49">
        <f>'Охотск '!C25</f>
        <v>25</v>
      </c>
      <c r="D199" s="49">
        <f>'Охотск '!D25</f>
        <v>33</v>
      </c>
      <c r="E199" s="180">
        <f>'Охотск '!E25</f>
        <v>132</v>
      </c>
      <c r="F199" s="65">
        <f>'Охотск '!F25</f>
        <v>371.42153999999999</v>
      </c>
      <c r="G199" s="65">
        <f>'Охотск '!G25</f>
        <v>247.61</v>
      </c>
      <c r="H199" s="65">
        <f>'Охотск '!H25</f>
        <v>331.26785999999998</v>
      </c>
      <c r="I199" s="65">
        <f>'Охотск '!I25</f>
        <v>133.78613949355841</v>
      </c>
      <c r="J199" s="103"/>
      <c r="L199" s="727"/>
    </row>
    <row r="200" spans="1:185" ht="30" x14ac:dyDescent="0.25">
      <c r="A200" s="542" t="s">
        <v>112</v>
      </c>
      <c r="B200" s="539">
        <f>'Охотск '!B26</f>
        <v>1519</v>
      </c>
      <c r="C200" s="539">
        <f>'Охотск '!C26</f>
        <v>1013</v>
      </c>
      <c r="D200" s="539">
        <f>'Охотск '!D26</f>
        <v>806</v>
      </c>
      <c r="E200" s="540">
        <f>'Охотск '!E26</f>
        <v>79.565646594274426</v>
      </c>
      <c r="F200" s="568">
        <f>'Охотск '!F26</f>
        <v>5389.9595099999997</v>
      </c>
      <c r="G200" s="568">
        <f>'Охотск '!G26</f>
        <v>3593.3</v>
      </c>
      <c r="H200" s="568">
        <f>'Охотск '!H26</f>
        <v>3199.3544200000001</v>
      </c>
      <c r="I200" s="568">
        <f>'Охотск '!I26</f>
        <v>89.036663234352815</v>
      </c>
      <c r="J200" s="103"/>
      <c r="L200" s="727"/>
    </row>
    <row r="201" spans="1:185" ht="30" x14ac:dyDescent="0.25">
      <c r="A201" s="116" t="s">
        <v>108</v>
      </c>
      <c r="B201" s="49">
        <f>'Охотск '!B27</f>
        <v>100</v>
      </c>
      <c r="C201" s="49">
        <f>'Охотск '!C27</f>
        <v>67</v>
      </c>
      <c r="D201" s="49">
        <f>'Охотск '!D27</f>
        <v>57</v>
      </c>
      <c r="E201" s="180">
        <f>'Охотск '!E27</f>
        <v>85.074626865671647</v>
      </c>
      <c r="F201" s="65">
        <f>'Охотск '!F27</f>
        <v>324.38797</v>
      </c>
      <c r="G201" s="65">
        <f>'Охотск '!G27</f>
        <v>216.26</v>
      </c>
      <c r="H201" s="65">
        <f>'Охотск '!H27</f>
        <v>178.00201000000001</v>
      </c>
      <c r="I201" s="65">
        <f>'Охотск '!I27</f>
        <v>82.309261999445127</v>
      </c>
      <c r="J201" s="103"/>
      <c r="L201" s="727"/>
    </row>
    <row r="202" spans="1:185" ht="60" x14ac:dyDescent="0.25">
      <c r="A202" s="116" t="s">
        <v>81</v>
      </c>
      <c r="B202" s="49">
        <f>'Охотск '!B28</f>
        <v>1328</v>
      </c>
      <c r="C202" s="49">
        <f>'Охотск '!C28</f>
        <v>885</v>
      </c>
      <c r="D202" s="49">
        <f>'Охотск '!D28</f>
        <v>715</v>
      </c>
      <c r="E202" s="180">
        <f>'Охотск '!E28</f>
        <v>80.790960451977398</v>
      </c>
      <c r="F202" s="65">
        <f>'Охотск '!F28</f>
        <v>4929.1243199999999</v>
      </c>
      <c r="G202" s="65">
        <f>'Охотск '!G28</f>
        <v>3286.08</v>
      </c>
      <c r="H202" s="65">
        <f>'Охотск '!H28</f>
        <v>2971.7786700000001</v>
      </c>
      <c r="I202" s="65">
        <f>'Охотск '!I28</f>
        <v>90.435371932515338</v>
      </c>
      <c r="J202" s="103"/>
      <c r="L202" s="727"/>
    </row>
    <row r="203" spans="1:185" ht="45" x14ac:dyDescent="0.25">
      <c r="A203" s="116" t="s">
        <v>109</v>
      </c>
      <c r="B203" s="49">
        <f>'Охотск '!B29</f>
        <v>91</v>
      </c>
      <c r="C203" s="49">
        <f>'Охотск '!C29</f>
        <v>61</v>
      </c>
      <c r="D203" s="49">
        <f>'Охотск '!D29</f>
        <v>34</v>
      </c>
      <c r="E203" s="180">
        <f>'Охотск '!E29</f>
        <v>55.737704918032783</v>
      </c>
      <c r="F203" s="65">
        <f>'Охотск '!F29</f>
        <v>136.44721999999999</v>
      </c>
      <c r="G203" s="65">
        <f>'Охотск '!G29</f>
        <v>90.96</v>
      </c>
      <c r="H203" s="65">
        <f>'Охотск '!H29</f>
        <v>49.573740000000001</v>
      </c>
      <c r="I203" s="65">
        <f>'Охотск '!I29</f>
        <v>54.500593667546184</v>
      </c>
      <c r="J203" s="103"/>
      <c r="L203" s="727"/>
    </row>
    <row r="204" spans="1:185" ht="30" x14ac:dyDescent="0.25">
      <c r="A204" s="658" t="s">
        <v>123</v>
      </c>
      <c r="B204" s="49">
        <f>'Охотск '!B30</f>
        <v>5565</v>
      </c>
      <c r="C204" s="49">
        <f>'Охотск '!C30</f>
        <v>3710</v>
      </c>
      <c r="D204" s="49">
        <f>'Охотск '!D30</f>
        <v>3565</v>
      </c>
      <c r="E204" s="180">
        <f>'Охотск '!E30</f>
        <v>96.091644204851761</v>
      </c>
      <c r="F204" s="65">
        <f>'Охотск '!F30</f>
        <v>8285.1720000000005</v>
      </c>
      <c r="G204" s="65">
        <f>'Охотск '!G30</f>
        <v>5523.45</v>
      </c>
      <c r="H204" s="65">
        <f>'Охотск '!H30</f>
        <v>5294.4128499999997</v>
      </c>
      <c r="I204" s="65">
        <f>'Охотск '!I30</f>
        <v>95.853367913170203</v>
      </c>
      <c r="J204" s="103"/>
      <c r="K204" s="103"/>
      <c r="L204" s="103"/>
    </row>
    <row r="205" spans="1:185" ht="15.75" thickBot="1" x14ac:dyDescent="0.3">
      <c r="A205" s="112" t="s">
        <v>4</v>
      </c>
      <c r="B205" s="49">
        <f>'Охотск '!B31</f>
        <v>0</v>
      </c>
      <c r="C205" s="49">
        <f>'Охотск '!C31</f>
        <v>0</v>
      </c>
      <c r="D205" s="49">
        <f>'Охотск '!D31</f>
        <v>0</v>
      </c>
      <c r="E205" s="180">
        <f>'Охотск '!E31</f>
        <v>0</v>
      </c>
      <c r="F205" s="65">
        <f>'Охотск '!F31</f>
        <v>16929.04477</v>
      </c>
      <c r="G205" s="65">
        <f>'Охотск '!G31</f>
        <v>11286.02</v>
      </c>
      <c r="H205" s="65">
        <f>'Охотск '!H31</f>
        <v>10332.760760000001</v>
      </c>
      <c r="I205" s="65">
        <f>'Охотск '!I31</f>
        <v>91.553627939698856</v>
      </c>
      <c r="J205" s="103"/>
      <c r="L205" s="727"/>
    </row>
    <row r="206" spans="1:185" ht="15" customHeight="1" x14ac:dyDescent="0.25">
      <c r="A206" s="96" t="s">
        <v>29</v>
      </c>
      <c r="B206" s="97"/>
      <c r="C206" s="97"/>
      <c r="D206" s="97"/>
      <c r="E206" s="183"/>
      <c r="F206" s="98"/>
      <c r="G206" s="98"/>
      <c r="H206" s="98"/>
      <c r="I206" s="98"/>
      <c r="J206" s="103"/>
      <c r="L206" s="727"/>
    </row>
    <row r="207" spans="1:185" s="190" customFormat="1" ht="30" x14ac:dyDescent="0.25">
      <c r="A207" s="542" t="s">
        <v>120</v>
      </c>
      <c r="B207" s="569">
        <f>'2 уровень'!C334</f>
        <v>3295</v>
      </c>
      <c r="C207" s="569">
        <f>'2 уровень'!D334</f>
        <v>2197</v>
      </c>
      <c r="D207" s="569">
        <f>'2 уровень'!E334</f>
        <v>2695</v>
      </c>
      <c r="E207" s="570">
        <f>'2 уровень'!F334</f>
        <v>122.66727355484753</v>
      </c>
      <c r="F207" s="568">
        <f>'2 уровень'!G334</f>
        <v>6315.0936700000002</v>
      </c>
      <c r="G207" s="568">
        <f>'2 уровень'!H334</f>
        <v>4210.0600000000004</v>
      </c>
      <c r="H207" s="568">
        <f>'2 уровень'!I334</f>
        <v>5686.0198299999993</v>
      </c>
      <c r="I207" s="568">
        <f>'2 уровень'!J334</f>
        <v>135.05792862809554</v>
      </c>
      <c r="J207" s="247"/>
      <c r="K207" s="726"/>
      <c r="L207" s="727"/>
      <c r="M207" s="246"/>
      <c r="N207" s="246"/>
      <c r="O207" s="246"/>
      <c r="P207" s="246"/>
      <c r="Q207" s="246"/>
      <c r="R207" s="246"/>
      <c r="S207" s="246"/>
      <c r="T207" s="246"/>
      <c r="U207" s="246"/>
      <c r="V207" s="246"/>
      <c r="W207" s="246"/>
      <c r="X207" s="246"/>
      <c r="Y207" s="246"/>
      <c r="Z207" s="246"/>
      <c r="AA207" s="246"/>
      <c r="AB207" s="246"/>
      <c r="AC207" s="246"/>
      <c r="AD207" s="246"/>
      <c r="AE207" s="246"/>
      <c r="AF207" s="246"/>
      <c r="AG207" s="246"/>
      <c r="AH207" s="246"/>
      <c r="AI207" s="246"/>
      <c r="AJ207" s="246"/>
      <c r="AK207" s="246"/>
      <c r="AL207" s="246"/>
      <c r="AM207" s="246"/>
      <c r="AN207" s="246"/>
      <c r="AO207" s="246"/>
      <c r="AP207" s="246"/>
      <c r="AQ207" s="246"/>
      <c r="AR207" s="246"/>
      <c r="AS207" s="246"/>
      <c r="AT207" s="246"/>
      <c r="AU207" s="246"/>
      <c r="AV207" s="246"/>
      <c r="AW207" s="246"/>
      <c r="AX207" s="246"/>
      <c r="AY207" s="246"/>
      <c r="AZ207" s="246"/>
      <c r="BA207" s="246"/>
      <c r="BB207" s="246"/>
      <c r="BC207" s="246"/>
      <c r="BD207" s="246"/>
      <c r="BE207" s="246"/>
      <c r="BF207" s="246"/>
      <c r="BG207" s="246"/>
      <c r="BH207" s="246"/>
      <c r="BI207" s="246"/>
      <c r="BJ207" s="246"/>
      <c r="BK207" s="246"/>
      <c r="BL207" s="246"/>
      <c r="BM207" s="246"/>
      <c r="BN207" s="246"/>
      <c r="BO207" s="246"/>
      <c r="BP207" s="246"/>
      <c r="BQ207" s="246"/>
      <c r="BR207" s="246"/>
      <c r="BS207" s="246"/>
      <c r="BT207" s="246"/>
      <c r="BU207" s="246"/>
      <c r="BV207" s="246"/>
      <c r="BW207" s="246"/>
      <c r="BX207" s="246"/>
      <c r="BY207" s="246"/>
      <c r="BZ207" s="246"/>
      <c r="CA207" s="246"/>
      <c r="CB207" s="246"/>
      <c r="CC207" s="246"/>
      <c r="CD207" s="246"/>
      <c r="CE207" s="246"/>
      <c r="CF207" s="246"/>
      <c r="CG207" s="246"/>
      <c r="CH207" s="246"/>
      <c r="CI207" s="246"/>
      <c r="CJ207" s="246"/>
      <c r="CK207" s="246"/>
      <c r="CL207" s="246"/>
      <c r="CM207" s="246"/>
      <c r="CN207" s="246"/>
      <c r="CO207" s="246"/>
      <c r="CP207" s="246"/>
      <c r="CQ207" s="246"/>
      <c r="CR207" s="246"/>
      <c r="CS207" s="246"/>
      <c r="CT207" s="246"/>
      <c r="CU207" s="246"/>
      <c r="CV207" s="246"/>
      <c r="CW207" s="246"/>
      <c r="CX207" s="246"/>
      <c r="CY207" s="246"/>
      <c r="CZ207" s="246"/>
      <c r="DA207" s="246"/>
      <c r="DB207" s="246"/>
      <c r="DC207" s="246"/>
      <c r="DD207" s="246"/>
      <c r="DE207" s="246"/>
      <c r="DF207" s="246"/>
      <c r="DG207" s="246"/>
      <c r="DH207" s="246"/>
      <c r="DI207" s="246"/>
      <c r="DJ207" s="246"/>
      <c r="DK207" s="246"/>
      <c r="DL207" s="246"/>
      <c r="DM207" s="246"/>
      <c r="DN207" s="246"/>
      <c r="DO207" s="246"/>
      <c r="DP207" s="246"/>
      <c r="DQ207" s="246"/>
      <c r="DR207" s="246"/>
      <c r="DS207" s="246"/>
      <c r="DT207" s="246"/>
      <c r="DU207" s="246"/>
      <c r="DV207" s="246"/>
      <c r="DW207" s="246"/>
      <c r="DX207" s="246"/>
      <c r="DY207" s="246"/>
      <c r="DZ207" s="246"/>
      <c r="EA207" s="246"/>
      <c r="EB207" s="246"/>
      <c r="EC207" s="246"/>
      <c r="ED207" s="246"/>
      <c r="EE207" s="246"/>
      <c r="EF207" s="246"/>
      <c r="EG207" s="246"/>
      <c r="EH207" s="246"/>
      <c r="EI207" s="246"/>
      <c r="EJ207" s="246"/>
      <c r="EK207" s="246"/>
      <c r="EL207" s="246"/>
      <c r="EM207" s="246"/>
      <c r="EN207" s="246"/>
      <c r="EO207" s="246"/>
      <c r="EP207" s="246"/>
      <c r="EQ207" s="246"/>
      <c r="ER207" s="246"/>
      <c r="ES207" s="246"/>
      <c r="ET207" s="246"/>
      <c r="EU207" s="246"/>
      <c r="EV207" s="246"/>
      <c r="EW207" s="246"/>
      <c r="EX207" s="246"/>
      <c r="EY207" s="246"/>
      <c r="EZ207" s="246"/>
      <c r="FA207" s="246"/>
      <c r="FB207" s="246"/>
      <c r="FC207" s="246"/>
      <c r="FD207" s="246"/>
      <c r="FE207" s="246"/>
      <c r="FF207" s="246"/>
      <c r="FG207" s="246"/>
      <c r="FH207" s="246"/>
      <c r="FI207" s="246"/>
      <c r="FJ207" s="246"/>
      <c r="FK207" s="246"/>
      <c r="FL207" s="246"/>
      <c r="FM207" s="246"/>
      <c r="FN207" s="246"/>
      <c r="FO207" s="246"/>
      <c r="FP207" s="246"/>
      <c r="FQ207" s="246"/>
      <c r="FR207" s="246"/>
      <c r="FS207" s="246"/>
      <c r="FT207" s="246"/>
      <c r="FU207" s="246"/>
      <c r="FV207" s="246"/>
      <c r="FW207" s="246"/>
      <c r="FX207" s="246"/>
      <c r="FY207" s="246"/>
      <c r="FZ207" s="246"/>
      <c r="GA207" s="246"/>
      <c r="GB207" s="246"/>
      <c r="GC207" s="246"/>
    </row>
    <row r="208" spans="1:185" s="190" customFormat="1" ht="30" x14ac:dyDescent="0.25">
      <c r="A208" s="116" t="s">
        <v>79</v>
      </c>
      <c r="B208" s="274">
        <f>'2 уровень'!C335</f>
        <v>2326</v>
      </c>
      <c r="C208" s="274">
        <f>'2 уровень'!D335</f>
        <v>1551</v>
      </c>
      <c r="D208" s="689">
        <f>'2 уровень'!E335</f>
        <v>1782</v>
      </c>
      <c r="E208" s="275">
        <f>'2 уровень'!F335</f>
        <v>114.89361702127661</v>
      </c>
      <c r="F208" s="195">
        <f>'2 уровень'!G335</f>
        <v>3271.1419999999998</v>
      </c>
      <c r="G208" s="195">
        <f>'2 уровень'!H335</f>
        <v>2180.7600000000002</v>
      </c>
      <c r="H208" s="65">
        <f>'2 уровень'!I335</f>
        <v>2927.2701599999996</v>
      </c>
      <c r="I208" s="195">
        <f>'2 уровень'!J335</f>
        <v>134.23165135090517</v>
      </c>
      <c r="J208" s="247"/>
      <c r="K208" s="726"/>
      <c r="L208" s="727"/>
      <c r="M208" s="246"/>
      <c r="N208" s="246"/>
      <c r="O208" s="246"/>
      <c r="P208" s="246"/>
      <c r="Q208" s="246"/>
      <c r="R208" s="246"/>
      <c r="S208" s="246"/>
      <c r="T208" s="246"/>
      <c r="U208" s="246"/>
      <c r="V208" s="246"/>
      <c r="W208" s="246"/>
      <c r="X208" s="246"/>
      <c r="Y208" s="246"/>
      <c r="Z208" s="246"/>
      <c r="AA208" s="246"/>
      <c r="AB208" s="246"/>
      <c r="AC208" s="246"/>
      <c r="AD208" s="246"/>
      <c r="AE208" s="246"/>
      <c r="AF208" s="246"/>
      <c r="AG208" s="246"/>
      <c r="AH208" s="246"/>
      <c r="AI208" s="246"/>
      <c r="AJ208" s="246"/>
      <c r="AK208" s="246"/>
      <c r="AL208" s="246"/>
      <c r="AM208" s="246"/>
      <c r="AN208" s="246"/>
      <c r="AO208" s="246"/>
      <c r="AP208" s="246"/>
      <c r="AQ208" s="246"/>
      <c r="AR208" s="246"/>
      <c r="AS208" s="246"/>
      <c r="AT208" s="246"/>
      <c r="AU208" s="246"/>
      <c r="AV208" s="246"/>
      <c r="AW208" s="246"/>
      <c r="AX208" s="246"/>
      <c r="AY208" s="246"/>
      <c r="AZ208" s="246"/>
      <c r="BA208" s="246"/>
      <c r="BB208" s="246"/>
      <c r="BC208" s="246"/>
      <c r="BD208" s="246"/>
      <c r="BE208" s="246"/>
      <c r="BF208" s="246"/>
      <c r="BG208" s="246"/>
      <c r="BH208" s="246"/>
      <c r="BI208" s="246"/>
      <c r="BJ208" s="246"/>
      <c r="BK208" s="246"/>
      <c r="BL208" s="246"/>
      <c r="BM208" s="246"/>
      <c r="BN208" s="246"/>
      <c r="BO208" s="246"/>
      <c r="BP208" s="246"/>
      <c r="BQ208" s="246"/>
      <c r="BR208" s="246"/>
      <c r="BS208" s="246"/>
      <c r="BT208" s="246"/>
      <c r="BU208" s="246"/>
      <c r="BV208" s="246"/>
      <c r="BW208" s="246"/>
      <c r="BX208" s="246"/>
      <c r="BY208" s="246"/>
      <c r="BZ208" s="246"/>
      <c r="CA208" s="246"/>
      <c r="CB208" s="246"/>
      <c r="CC208" s="246"/>
      <c r="CD208" s="246"/>
      <c r="CE208" s="246"/>
      <c r="CF208" s="246"/>
      <c r="CG208" s="246"/>
      <c r="CH208" s="246"/>
      <c r="CI208" s="246"/>
      <c r="CJ208" s="246"/>
      <c r="CK208" s="246"/>
      <c r="CL208" s="246"/>
      <c r="CM208" s="246"/>
      <c r="CN208" s="246"/>
      <c r="CO208" s="246"/>
      <c r="CP208" s="246"/>
      <c r="CQ208" s="246"/>
      <c r="CR208" s="246"/>
      <c r="CS208" s="246"/>
      <c r="CT208" s="246"/>
      <c r="CU208" s="246"/>
      <c r="CV208" s="246"/>
      <c r="CW208" s="246"/>
      <c r="CX208" s="246"/>
      <c r="CY208" s="246"/>
      <c r="CZ208" s="246"/>
      <c r="DA208" s="246"/>
      <c r="DB208" s="246"/>
      <c r="DC208" s="246"/>
      <c r="DD208" s="246"/>
      <c r="DE208" s="246"/>
      <c r="DF208" s="246"/>
      <c r="DG208" s="246"/>
      <c r="DH208" s="246"/>
      <c r="DI208" s="246"/>
      <c r="DJ208" s="246"/>
      <c r="DK208" s="246"/>
      <c r="DL208" s="246"/>
      <c r="DM208" s="246"/>
      <c r="DN208" s="246"/>
      <c r="DO208" s="246"/>
      <c r="DP208" s="246"/>
      <c r="DQ208" s="246"/>
      <c r="DR208" s="246"/>
      <c r="DS208" s="246"/>
      <c r="DT208" s="246"/>
      <c r="DU208" s="246"/>
      <c r="DV208" s="246"/>
      <c r="DW208" s="246"/>
      <c r="DX208" s="246"/>
      <c r="DY208" s="246"/>
      <c r="DZ208" s="246"/>
      <c r="EA208" s="246"/>
      <c r="EB208" s="246"/>
      <c r="EC208" s="246"/>
      <c r="ED208" s="246"/>
      <c r="EE208" s="246"/>
      <c r="EF208" s="246"/>
      <c r="EG208" s="246"/>
      <c r="EH208" s="246"/>
      <c r="EI208" s="246"/>
      <c r="EJ208" s="246"/>
      <c r="EK208" s="246"/>
      <c r="EL208" s="246"/>
      <c r="EM208" s="246"/>
      <c r="EN208" s="246"/>
      <c r="EO208" s="246"/>
      <c r="EP208" s="246"/>
      <c r="EQ208" s="246"/>
      <c r="ER208" s="246"/>
      <c r="ES208" s="246"/>
      <c r="ET208" s="246"/>
      <c r="EU208" s="246"/>
      <c r="EV208" s="246"/>
      <c r="EW208" s="246"/>
      <c r="EX208" s="246"/>
      <c r="EY208" s="246"/>
      <c r="EZ208" s="246"/>
      <c r="FA208" s="246"/>
      <c r="FB208" s="246"/>
      <c r="FC208" s="246"/>
      <c r="FD208" s="246"/>
      <c r="FE208" s="246"/>
      <c r="FF208" s="246"/>
      <c r="FG208" s="246"/>
      <c r="FH208" s="246"/>
      <c r="FI208" s="246"/>
      <c r="FJ208" s="246"/>
      <c r="FK208" s="246"/>
      <c r="FL208" s="246"/>
      <c r="FM208" s="246"/>
      <c r="FN208" s="246"/>
      <c r="FO208" s="246"/>
      <c r="FP208" s="246"/>
      <c r="FQ208" s="246"/>
      <c r="FR208" s="246"/>
      <c r="FS208" s="246"/>
      <c r="FT208" s="246"/>
      <c r="FU208" s="246"/>
      <c r="FV208" s="246"/>
      <c r="FW208" s="246"/>
      <c r="FX208" s="246"/>
      <c r="FY208" s="246"/>
      <c r="FZ208" s="246"/>
      <c r="GA208" s="246"/>
      <c r="GB208" s="246"/>
      <c r="GC208" s="246"/>
    </row>
    <row r="209" spans="1:185" s="190" customFormat="1" ht="30" x14ac:dyDescent="0.25">
      <c r="A209" s="116" t="s">
        <v>80</v>
      </c>
      <c r="B209" s="274">
        <f>'2 уровень'!C336</f>
        <v>698</v>
      </c>
      <c r="C209" s="274">
        <f>'2 уровень'!D336</f>
        <v>465</v>
      </c>
      <c r="D209" s="689">
        <f>'2 уровень'!E336</f>
        <v>681</v>
      </c>
      <c r="E209" s="275">
        <f>'2 уровень'!F336</f>
        <v>146.45161290322582</v>
      </c>
      <c r="F209" s="195">
        <f>'2 уровень'!G336</f>
        <v>1265.62799</v>
      </c>
      <c r="G209" s="195">
        <f>'2 уровень'!H336</f>
        <v>843.75</v>
      </c>
      <c r="H209" s="65">
        <f>'2 уровень'!I336</f>
        <v>1236.3471099999999</v>
      </c>
      <c r="I209" s="195">
        <f>'2 уровень'!J336</f>
        <v>146.53002785185186</v>
      </c>
      <c r="J209" s="247"/>
      <c r="K209" s="726"/>
      <c r="L209" s="727"/>
      <c r="M209" s="246"/>
      <c r="N209" s="246"/>
      <c r="O209" s="246"/>
      <c r="P209" s="246"/>
      <c r="Q209" s="246"/>
      <c r="R209" s="246"/>
      <c r="S209" s="246"/>
      <c r="T209" s="246"/>
      <c r="U209" s="246"/>
      <c r="V209" s="246"/>
      <c r="W209" s="246"/>
      <c r="X209" s="246"/>
      <c r="Y209" s="246"/>
      <c r="Z209" s="246"/>
      <c r="AA209" s="246"/>
      <c r="AB209" s="246"/>
      <c r="AC209" s="246"/>
      <c r="AD209" s="246"/>
      <c r="AE209" s="246"/>
      <c r="AF209" s="246"/>
      <c r="AG209" s="246"/>
      <c r="AH209" s="246"/>
      <c r="AI209" s="246"/>
      <c r="AJ209" s="246"/>
      <c r="AK209" s="246"/>
      <c r="AL209" s="246"/>
      <c r="AM209" s="246"/>
      <c r="AN209" s="246"/>
      <c r="AO209" s="246"/>
      <c r="AP209" s="246"/>
      <c r="AQ209" s="246"/>
      <c r="AR209" s="246"/>
      <c r="AS209" s="246"/>
      <c r="AT209" s="246"/>
      <c r="AU209" s="246"/>
      <c r="AV209" s="246"/>
      <c r="AW209" s="246"/>
      <c r="AX209" s="246"/>
      <c r="AY209" s="246"/>
      <c r="AZ209" s="246"/>
      <c r="BA209" s="246"/>
      <c r="BB209" s="246"/>
      <c r="BC209" s="246"/>
      <c r="BD209" s="246"/>
      <c r="BE209" s="246"/>
      <c r="BF209" s="246"/>
      <c r="BG209" s="246"/>
      <c r="BH209" s="246"/>
      <c r="BI209" s="246"/>
      <c r="BJ209" s="246"/>
      <c r="BK209" s="246"/>
      <c r="BL209" s="246"/>
      <c r="BM209" s="246"/>
      <c r="BN209" s="246"/>
      <c r="BO209" s="246"/>
      <c r="BP209" s="246"/>
      <c r="BQ209" s="246"/>
      <c r="BR209" s="246"/>
      <c r="BS209" s="246"/>
      <c r="BT209" s="246"/>
      <c r="BU209" s="246"/>
      <c r="BV209" s="246"/>
      <c r="BW209" s="246"/>
      <c r="BX209" s="246"/>
      <c r="BY209" s="246"/>
      <c r="BZ209" s="246"/>
      <c r="CA209" s="246"/>
      <c r="CB209" s="246"/>
      <c r="CC209" s="246"/>
      <c r="CD209" s="246"/>
      <c r="CE209" s="246"/>
      <c r="CF209" s="246"/>
      <c r="CG209" s="246"/>
      <c r="CH209" s="246"/>
      <c r="CI209" s="246"/>
      <c r="CJ209" s="246"/>
      <c r="CK209" s="246"/>
      <c r="CL209" s="246"/>
      <c r="CM209" s="246"/>
      <c r="CN209" s="246"/>
      <c r="CO209" s="246"/>
      <c r="CP209" s="246"/>
      <c r="CQ209" s="246"/>
      <c r="CR209" s="246"/>
      <c r="CS209" s="246"/>
      <c r="CT209" s="246"/>
      <c r="CU209" s="246"/>
      <c r="CV209" s="246"/>
      <c r="CW209" s="246"/>
      <c r="CX209" s="246"/>
      <c r="CY209" s="246"/>
      <c r="CZ209" s="246"/>
      <c r="DA209" s="246"/>
      <c r="DB209" s="246"/>
      <c r="DC209" s="246"/>
      <c r="DD209" s="246"/>
      <c r="DE209" s="246"/>
      <c r="DF209" s="246"/>
      <c r="DG209" s="246"/>
      <c r="DH209" s="246"/>
      <c r="DI209" s="246"/>
      <c r="DJ209" s="246"/>
      <c r="DK209" s="246"/>
      <c r="DL209" s="246"/>
      <c r="DM209" s="246"/>
      <c r="DN209" s="246"/>
      <c r="DO209" s="246"/>
      <c r="DP209" s="246"/>
      <c r="DQ209" s="246"/>
      <c r="DR209" s="246"/>
      <c r="DS209" s="246"/>
      <c r="DT209" s="246"/>
      <c r="DU209" s="246"/>
      <c r="DV209" s="246"/>
      <c r="DW209" s="246"/>
      <c r="DX209" s="246"/>
      <c r="DY209" s="246"/>
      <c r="DZ209" s="246"/>
      <c r="EA209" s="246"/>
      <c r="EB209" s="246"/>
      <c r="EC209" s="246"/>
      <c r="ED209" s="246"/>
      <c r="EE209" s="246"/>
      <c r="EF209" s="246"/>
      <c r="EG209" s="246"/>
      <c r="EH209" s="246"/>
      <c r="EI209" s="246"/>
      <c r="EJ209" s="246"/>
      <c r="EK209" s="246"/>
      <c r="EL209" s="246"/>
      <c r="EM209" s="246"/>
      <c r="EN209" s="246"/>
      <c r="EO209" s="246"/>
      <c r="EP209" s="246"/>
      <c r="EQ209" s="246"/>
      <c r="ER209" s="246"/>
      <c r="ES209" s="246"/>
      <c r="ET209" s="246"/>
      <c r="EU209" s="246"/>
      <c r="EV209" s="246"/>
      <c r="EW209" s="246"/>
      <c r="EX209" s="246"/>
      <c r="EY209" s="246"/>
      <c r="EZ209" s="246"/>
      <c r="FA209" s="246"/>
      <c r="FB209" s="246"/>
      <c r="FC209" s="246"/>
      <c r="FD209" s="246"/>
      <c r="FE209" s="246"/>
      <c r="FF209" s="246"/>
      <c r="FG209" s="246"/>
      <c r="FH209" s="246"/>
      <c r="FI209" s="246"/>
      <c r="FJ209" s="246"/>
      <c r="FK209" s="246"/>
      <c r="FL209" s="246"/>
      <c r="FM209" s="246"/>
      <c r="FN209" s="246"/>
      <c r="FO209" s="246"/>
      <c r="FP209" s="246"/>
      <c r="FQ209" s="246"/>
      <c r="FR209" s="246"/>
      <c r="FS209" s="246"/>
      <c r="FT209" s="246"/>
      <c r="FU209" s="246"/>
      <c r="FV209" s="246"/>
      <c r="FW209" s="246"/>
      <c r="FX209" s="246"/>
      <c r="FY209" s="246"/>
      <c r="FZ209" s="246"/>
      <c r="GA209" s="246"/>
      <c r="GB209" s="246"/>
      <c r="GC209" s="246"/>
    </row>
    <row r="210" spans="1:185" s="190" customFormat="1" ht="45" x14ac:dyDescent="0.25">
      <c r="A210" s="116" t="s">
        <v>110</v>
      </c>
      <c r="B210" s="274">
        <f>'2 уровень'!C337</f>
        <v>21</v>
      </c>
      <c r="C210" s="274">
        <f>'2 уровень'!D337</f>
        <v>14</v>
      </c>
      <c r="D210" s="689">
        <f>'2 уровень'!E337</f>
        <v>21</v>
      </c>
      <c r="E210" s="275">
        <f>'2 уровень'!F337</f>
        <v>150</v>
      </c>
      <c r="F210" s="195">
        <f>'2 уровень'!G337</f>
        <v>137.80367999999999</v>
      </c>
      <c r="G210" s="195">
        <f>'2 уровень'!H337</f>
        <v>91.87</v>
      </c>
      <c r="H210" s="65">
        <f>'2 уровень'!I337</f>
        <v>137.80367999999999</v>
      </c>
      <c r="I210" s="195">
        <f>'2 уровень'!J337</f>
        <v>149.99856318711221</v>
      </c>
      <c r="J210" s="247"/>
      <c r="K210" s="726"/>
      <c r="L210" s="727"/>
      <c r="M210" s="246"/>
      <c r="N210" s="246"/>
      <c r="O210" s="246"/>
      <c r="P210" s="246"/>
      <c r="Q210" s="246"/>
      <c r="R210" s="246"/>
      <c r="S210" s="246"/>
      <c r="T210" s="246"/>
      <c r="U210" s="246"/>
      <c r="V210" s="246"/>
      <c r="W210" s="246"/>
      <c r="X210" s="246"/>
      <c r="Y210" s="246"/>
      <c r="Z210" s="246"/>
      <c r="AA210" s="246"/>
      <c r="AB210" s="246"/>
      <c r="AC210" s="246"/>
      <c r="AD210" s="246"/>
      <c r="AE210" s="246"/>
      <c r="AF210" s="246"/>
      <c r="AG210" s="246"/>
      <c r="AH210" s="246"/>
      <c r="AI210" s="246"/>
      <c r="AJ210" s="246"/>
      <c r="AK210" s="246"/>
      <c r="AL210" s="246"/>
      <c r="AM210" s="246"/>
      <c r="AN210" s="246"/>
      <c r="AO210" s="246"/>
      <c r="AP210" s="246"/>
      <c r="AQ210" s="246"/>
      <c r="AR210" s="246"/>
      <c r="AS210" s="246"/>
      <c r="AT210" s="246"/>
      <c r="AU210" s="246"/>
      <c r="AV210" s="246"/>
      <c r="AW210" s="246"/>
      <c r="AX210" s="246"/>
      <c r="AY210" s="246"/>
      <c r="AZ210" s="246"/>
      <c r="BA210" s="246"/>
      <c r="BB210" s="246"/>
      <c r="BC210" s="246"/>
      <c r="BD210" s="246"/>
      <c r="BE210" s="246"/>
      <c r="BF210" s="246"/>
      <c r="BG210" s="246"/>
      <c r="BH210" s="246"/>
      <c r="BI210" s="246"/>
      <c r="BJ210" s="246"/>
      <c r="BK210" s="246"/>
      <c r="BL210" s="246"/>
      <c r="BM210" s="246"/>
      <c r="BN210" s="246"/>
      <c r="BO210" s="246"/>
      <c r="BP210" s="246"/>
      <c r="BQ210" s="246"/>
      <c r="BR210" s="246"/>
      <c r="BS210" s="246"/>
      <c r="BT210" s="246"/>
      <c r="BU210" s="246"/>
      <c r="BV210" s="246"/>
      <c r="BW210" s="246"/>
      <c r="BX210" s="246"/>
      <c r="BY210" s="246"/>
      <c r="BZ210" s="246"/>
      <c r="CA210" s="246"/>
      <c r="CB210" s="246"/>
      <c r="CC210" s="246"/>
      <c r="CD210" s="246"/>
      <c r="CE210" s="246"/>
      <c r="CF210" s="246"/>
      <c r="CG210" s="246"/>
      <c r="CH210" s="246"/>
      <c r="CI210" s="246"/>
      <c r="CJ210" s="246"/>
      <c r="CK210" s="246"/>
      <c r="CL210" s="246"/>
      <c r="CM210" s="246"/>
      <c r="CN210" s="246"/>
      <c r="CO210" s="246"/>
      <c r="CP210" s="246"/>
      <c r="CQ210" s="246"/>
      <c r="CR210" s="246"/>
      <c r="CS210" s="246"/>
      <c r="CT210" s="246"/>
      <c r="CU210" s="246"/>
      <c r="CV210" s="246"/>
      <c r="CW210" s="246"/>
      <c r="CX210" s="246"/>
      <c r="CY210" s="246"/>
      <c r="CZ210" s="246"/>
      <c r="DA210" s="246"/>
      <c r="DB210" s="246"/>
      <c r="DC210" s="246"/>
      <c r="DD210" s="246"/>
      <c r="DE210" s="246"/>
      <c r="DF210" s="246"/>
      <c r="DG210" s="246"/>
      <c r="DH210" s="246"/>
      <c r="DI210" s="246"/>
      <c r="DJ210" s="246"/>
      <c r="DK210" s="246"/>
      <c r="DL210" s="246"/>
      <c r="DM210" s="246"/>
      <c r="DN210" s="246"/>
      <c r="DO210" s="246"/>
      <c r="DP210" s="246"/>
      <c r="DQ210" s="246"/>
      <c r="DR210" s="246"/>
      <c r="DS210" s="246"/>
      <c r="DT210" s="246"/>
      <c r="DU210" s="246"/>
      <c r="DV210" s="246"/>
      <c r="DW210" s="246"/>
      <c r="DX210" s="246"/>
      <c r="DY210" s="246"/>
      <c r="DZ210" s="246"/>
      <c r="EA210" s="246"/>
      <c r="EB210" s="246"/>
      <c r="EC210" s="246"/>
      <c r="ED210" s="246"/>
      <c r="EE210" s="246"/>
      <c r="EF210" s="246"/>
      <c r="EG210" s="246"/>
      <c r="EH210" s="246"/>
      <c r="EI210" s="246"/>
      <c r="EJ210" s="246"/>
      <c r="EK210" s="246"/>
      <c r="EL210" s="246"/>
      <c r="EM210" s="246"/>
      <c r="EN210" s="246"/>
      <c r="EO210" s="246"/>
      <c r="EP210" s="246"/>
      <c r="EQ210" s="246"/>
      <c r="ER210" s="246"/>
      <c r="ES210" s="246"/>
      <c r="ET210" s="246"/>
      <c r="EU210" s="246"/>
      <c r="EV210" s="246"/>
      <c r="EW210" s="246"/>
      <c r="EX210" s="246"/>
      <c r="EY210" s="246"/>
      <c r="EZ210" s="246"/>
      <c r="FA210" s="246"/>
      <c r="FB210" s="246"/>
      <c r="FC210" s="246"/>
      <c r="FD210" s="246"/>
      <c r="FE210" s="246"/>
      <c r="FF210" s="246"/>
      <c r="FG210" s="246"/>
      <c r="FH210" s="246"/>
      <c r="FI210" s="246"/>
      <c r="FJ210" s="246"/>
      <c r="FK210" s="246"/>
      <c r="FL210" s="246"/>
      <c r="FM210" s="246"/>
      <c r="FN210" s="246"/>
      <c r="FO210" s="246"/>
      <c r="FP210" s="246"/>
      <c r="FQ210" s="246"/>
      <c r="FR210" s="246"/>
      <c r="FS210" s="246"/>
      <c r="FT210" s="246"/>
      <c r="FU210" s="246"/>
      <c r="FV210" s="246"/>
      <c r="FW210" s="246"/>
      <c r="FX210" s="246"/>
      <c r="FY210" s="246"/>
      <c r="FZ210" s="246"/>
      <c r="GA210" s="246"/>
      <c r="GB210" s="246"/>
      <c r="GC210" s="246"/>
    </row>
    <row r="211" spans="1:185" s="190" customFormat="1" ht="30" x14ac:dyDescent="0.25">
      <c r="A211" s="116" t="s">
        <v>111</v>
      </c>
      <c r="B211" s="274">
        <f>'2 уровень'!C338</f>
        <v>250</v>
      </c>
      <c r="C211" s="274">
        <f>'2 уровень'!D338</f>
        <v>167</v>
      </c>
      <c r="D211" s="689">
        <f>'2 уровень'!E338</f>
        <v>211</v>
      </c>
      <c r="E211" s="275">
        <f>'2 уровень'!F338</f>
        <v>126.34730538922156</v>
      </c>
      <c r="F211" s="195">
        <f>'2 уровень'!G338</f>
        <v>1640.52</v>
      </c>
      <c r="G211" s="195">
        <f>'2 уровень'!H338</f>
        <v>1093.68</v>
      </c>
      <c r="H211" s="65">
        <f>'2 уровень'!I338</f>
        <v>1384.59888</v>
      </c>
      <c r="I211" s="195">
        <f>'2 уровень'!J338</f>
        <v>126.6</v>
      </c>
      <c r="J211" s="247"/>
      <c r="K211" s="726"/>
      <c r="L211" s="727"/>
      <c r="M211" s="246"/>
      <c r="N211" s="246"/>
      <c r="O211" s="246"/>
      <c r="P211" s="246"/>
      <c r="Q211" s="246"/>
      <c r="R211" s="246"/>
      <c r="S211" s="246"/>
      <c r="T211" s="246"/>
      <c r="U211" s="246"/>
      <c r="V211" s="246"/>
      <c r="W211" s="246"/>
      <c r="X211" s="246"/>
      <c r="Y211" s="246"/>
      <c r="Z211" s="246"/>
      <c r="AA211" s="246"/>
      <c r="AB211" s="246"/>
      <c r="AC211" s="246"/>
      <c r="AD211" s="246"/>
      <c r="AE211" s="246"/>
      <c r="AF211" s="246"/>
      <c r="AG211" s="246"/>
      <c r="AH211" s="246"/>
      <c r="AI211" s="246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46"/>
      <c r="AV211" s="246"/>
      <c r="AW211" s="246"/>
      <c r="AX211" s="246"/>
      <c r="AY211" s="246"/>
      <c r="AZ211" s="246"/>
      <c r="BA211" s="246"/>
      <c r="BB211" s="246"/>
      <c r="BC211" s="246"/>
      <c r="BD211" s="246"/>
      <c r="BE211" s="246"/>
      <c r="BF211" s="246"/>
      <c r="BG211" s="246"/>
      <c r="BH211" s="246"/>
      <c r="BI211" s="246"/>
      <c r="BJ211" s="246"/>
      <c r="BK211" s="246"/>
      <c r="BL211" s="246"/>
      <c r="BM211" s="246"/>
      <c r="BN211" s="246"/>
      <c r="BO211" s="246"/>
      <c r="BP211" s="246"/>
      <c r="BQ211" s="246"/>
      <c r="BR211" s="246"/>
      <c r="BS211" s="246"/>
      <c r="BT211" s="246"/>
      <c r="BU211" s="246"/>
      <c r="BV211" s="246"/>
      <c r="BW211" s="246"/>
      <c r="BX211" s="246"/>
      <c r="BY211" s="246"/>
      <c r="BZ211" s="246"/>
      <c r="CA211" s="246"/>
      <c r="CB211" s="246"/>
      <c r="CC211" s="246"/>
      <c r="CD211" s="246"/>
      <c r="CE211" s="246"/>
      <c r="CF211" s="246"/>
      <c r="CG211" s="246"/>
      <c r="CH211" s="246"/>
      <c r="CI211" s="246"/>
      <c r="CJ211" s="246"/>
      <c r="CK211" s="246"/>
      <c r="CL211" s="246"/>
      <c r="CM211" s="246"/>
      <c r="CN211" s="246"/>
      <c r="CO211" s="246"/>
      <c r="CP211" s="246"/>
      <c r="CQ211" s="246"/>
      <c r="CR211" s="246"/>
      <c r="CS211" s="246"/>
      <c r="CT211" s="246"/>
      <c r="CU211" s="246"/>
      <c r="CV211" s="246"/>
      <c r="CW211" s="246"/>
      <c r="CX211" s="246"/>
      <c r="CY211" s="246"/>
      <c r="CZ211" s="246"/>
      <c r="DA211" s="246"/>
      <c r="DB211" s="246"/>
      <c r="DC211" s="246"/>
      <c r="DD211" s="246"/>
      <c r="DE211" s="246"/>
      <c r="DF211" s="246"/>
      <c r="DG211" s="246"/>
      <c r="DH211" s="246"/>
      <c r="DI211" s="246"/>
      <c r="DJ211" s="246"/>
      <c r="DK211" s="246"/>
      <c r="DL211" s="246"/>
      <c r="DM211" s="246"/>
      <c r="DN211" s="246"/>
      <c r="DO211" s="246"/>
      <c r="DP211" s="246"/>
      <c r="DQ211" s="246"/>
      <c r="DR211" s="246"/>
      <c r="DS211" s="246"/>
      <c r="DT211" s="246"/>
      <c r="DU211" s="246"/>
      <c r="DV211" s="246"/>
      <c r="DW211" s="246"/>
      <c r="DX211" s="246"/>
      <c r="DY211" s="246"/>
      <c r="DZ211" s="246"/>
      <c r="EA211" s="246"/>
      <c r="EB211" s="246"/>
      <c r="EC211" s="246"/>
      <c r="ED211" s="246"/>
      <c r="EE211" s="246"/>
      <c r="EF211" s="246"/>
      <c r="EG211" s="246"/>
      <c r="EH211" s="246"/>
      <c r="EI211" s="246"/>
      <c r="EJ211" s="246"/>
      <c r="EK211" s="246"/>
      <c r="EL211" s="246"/>
      <c r="EM211" s="246"/>
      <c r="EN211" s="246"/>
      <c r="EO211" s="246"/>
      <c r="EP211" s="246"/>
      <c r="EQ211" s="246"/>
      <c r="ER211" s="246"/>
      <c r="ES211" s="246"/>
      <c r="ET211" s="246"/>
      <c r="EU211" s="246"/>
      <c r="EV211" s="246"/>
      <c r="EW211" s="246"/>
      <c r="EX211" s="246"/>
      <c r="EY211" s="246"/>
      <c r="EZ211" s="246"/>
      <c r="FA211" s="246"/>
      <c r="FB211" s="246"/>
      <c r="FC211" s="246"/>
      <c r="FD211" s="246"/>
      <c r="FE211" s="246"/>
      <c r="FF211" s="246"/>
      <c r="FG211" s="246"/>
      <c r="FH211" s="246"/>
      <c r="FI211" s="246"/>
      <c r="FJ211" s="246"/>
      <c r="FK211" s="246"/>
      <c r="FL211" s="246"/>
      <c r="FM211" s="246"/>
      <c r="FN211" s="246"/>
      <c r="FO211" s="246"/>
      <c r="FP211" s="246"/>
      <c r="FQ211" s="246"/>
      <c r="FR211" s="246"/>
      <c r="FS211" s="246"/>
      <c r="FT211" s="246"/>
      <c r="FU211" s="246"/>
      <c r="FV211" s="246"/>
      <c r="FW211" s="246"/>
      <c r="FX211" s="246"/>
      <c r="FY211" s="246"/>
      <c r="FZ211" s="246"/>
      <c r="GA211" s="246"/>
      <c r="GB211" s="246"/>
      <c r="GC211" s="246"/>
    </row>
    <row r="212" spans="1:185" s="190" customFormat="1" ht="30" x14ac:dyDescent="0.25">
      <c r="A212" s="542" t="s">
        <v>112</v>
      </c>
      <c r="B212" s="569">
        <f>'2 уровень'!C339</f>
        <v>7360</v>
      </c>
      <c r="C212" s="569">
        <f>'2 уровень'!D339</f>
        <v>4906</v>
      </c>
      <c r="D212" s="569">
        <f>'2 уровень'!E339</f>
        <v>3376</v>
      </c>
      <c r="E212" s="570">
        <f>'2 уровень'!F339</f>
        <v>68.813697513249082</v>
      </c>
      <c r="F212" s="568">
        <f>'2 уровень'!G339</f>
        <v>15168.309600000001</v>
      </c>
      <c r="G212" s="568">
        <f>'2 уровень'!H339</f>
        <v>10112.210000000001</v>
      </c>
      <c r="H212" s="568">
        <f>'2 уровень'!I339</f>
        <v>7281.2671299999984</v>
      </c>
      <c r="I212" s="568">
        <f>'2 уровень'!J339</f>
        <v>72.004706488492602</v>
      </c>
      <c r="J212" s="247"/>
      <c r="K212" s="726"/>
      <c r="L212" s="727"/>
      <c r="M212" s="246"/>
      <c r="N212" s="246"/>
      <c r="O212" s="246"/>
      <c r="P212" s="246"/>
      <c r="Q212" s="246"/>
      <c r="R212" s="246"/>
      <c r="S212" s="246"/>
      <c r="T212" s="246"/>
      <c r="U212" s="246"/>
      <c r="V212" s="246"/>
      <c r="W212" s="246"/>
      <c r="X212" s="246"/>
      <c r="Y212" s="246"/>
      <c r="Z212" s="246"/>
      <c r="AA212" s="246"/>
      <c r="AB212" s="246"/>
      <c r="AC212" s="246"/>
      <c r="AD212" s="246"/>
      <c r="AE212" s="246"/>
      <c r="AF212" s="246"/>
      <c r="AG212" s="246"/>
      <c r="AH212" s="246"/>
      <c r="AI212" s="246"/>
      <c r="AJ212" s="246"/>
      <c r="AK212" s="246"/>
      <c r="AL212" s="246"/>
      <c r="AM212" s="246"/>
      <c r="AN212" s="246"/>
      <c r="AO212" s="246"/>
      <c r="AP212" s="246"/>
      <c r="AQ212" s="246"/>
      <c r="AR212" s="246"/>
      <c r="AS212" s="246"/>
      <c r="AT212" s="246"/>
      <c r="AU212" s="246"/>
      <c r="AV212" s="246"/>
      <c r="AW212" s="246"/>
      <c r="AX212" s="246"/>
      <c r="AY212" s="246"/>
      <c r="AZ212" s="246"/>
      <c r="BA212" s="246"/>
      <c r="BB212" s="246"/>
      <c r="BC212" s="246"/>
      <c r="BD212" s="246"/>
      <c r="BE212" s="246"/>
      <c r="BF212" s="246"/>
      <c r="BG212" s="246"/>
      <c r="BH212" s="246"/>
      <c r="BI212" s="246"/>
      <c r="BJ212" s="246"/>
      <c r="BK212" s="246"/>
      <c r="BL212" s="246"/>
      <c r="BM212" s="246"/>
      <c r="BN212" s="246"/>
      <c r="BO212" s="246"/>
      <c r="BP212" s="246"/>
      <c r="BQ212" s="246"/>
      <c r="BR212" s="246"/>
      <c r="BS212" s="246"/>
      <c r="BT212" s="246"/>
      <c r="BU212" s="246"/>
      <c r="BV212" s="246"/>
      <c r="BW212" s="246"/>
      <c r="BX212" s="246"/>
      <c r="BY212" s="246"/>
      <c r="BZ212" s="246"/>
      <c r="CA212" s="246"/>
      <c r="CB212" s="246"/>
      <c r="CC212" s="246"/>
      <c r="CD212" s="246"/>
      <c r="CE212" s="246"/>
      <c r="CF212" s="246"/>
      <c r="CG212" s="246"/>
      <c r="CH212" s="246"/>
      <c r="CI212" s="246"/>
      <c r="CJ212" s="246"/>
      <c r="CK212" s="246"/>
      <c r="CL212" s="246"/>
      <c r="CM212" s="246"/>
      <c r="CN212" s="246"/>
      <c r="CO212" s="246"/>
      <c r="CP212" s="246"/>
      <c r="CQ212" s="246"/>
      <c r="CR212" s="246"/>
      <c r="CS212" s="246"/>
      <c r="CT212" s="246"/>
      <c r="CU212" s="246"/>
      <c r="CV212" s="246"/>
      <c r="CW212" s="246"/>
      <c r="CX212" s="246"/>
      <c r="CY212" s="246"/>
      <c r="CZ212" s="246"/>
      <c r="DA212" s="246"/>
      <c r="DB212" s="246"/>
      <c r="DC212" s="246"/>
      <c r="DD212" s="246"/>
      <c r="DE212" s="246"/>
      <c r="DF212" s="246"/>
      <c r="DG212" s="246"/>
      <c r="DH212" s="246"/>
      <c r="DI212" s="246"/>
      <c r="DJ212" s="246"/>
      <c r="DK212" s="246"/>
      <c r="DL212" s="246"/>
      <c r="DM212" s="246"/>
      <c r="DN212" s="246"/>
      <c r="DO212" s="246"/>
      <c r="DP212" s="246"/>
      <c r="DQ212" s="246"/>
      <c r="DR212" s="246"/>
      <c r="DS212" s="246"/>
      <c r="DT212" s="246"/>
      <c r="DU212" s="246"/>
      <c r="DV212" s="246"/>
      <c r="DW212" s="246"/>
      <c r="DX212" s="246"/>
      <c r="DY212" s="246"/>
      <c r="DZ212" s="246"/>
      <c r="EA212" s="246"/>
      <c r="EB212" s="246"/>
      <c r="EC212" s="246"/>
      <c r="ED212" s="246"/>
      <c r="EE212" s="246"/>
      <c r="EF212" s="246"/>
      <c r="EG212" s="246"/>
      <c r="EH212" s="246"/>
      <c r="EI212" s="246"/>
      <c r="EJ212" s="246"/>
      <c r="EK212" s="246"/>
      <c r="EL212" s="246"/>
      <c r="EM212" s="246"/>
      <c r="EN212" s="246"/>
      <c r="EO212" s="246"/>
      <c r="EP212" s="246"/>
      <c r="EQ212" s="246"/>
      <c r="ER212" s="246"/>
      <c r="ES212" s="246"/>
      <c r="ET212" s="246"/>
      <c r="EU212" s="246"/>
      <c r="EV212" s="246"/>
      <c r="EW212" s="246"/>
      <c r="EX212" s="246"/>
      <c r="EY212" s="246"/>
      <c r="EZ212" s="246"/>
      <c r="FA212" s="246"/>
      <c r="FB212" s="246"/>
      <c r="FC212" s="246"/>
      <c r="FD212" s="246"/>
      <c r="FE212" s="246"/>
      <c r="FF212" s="246"/>
      <c r="FG212" s="246"/>
      <c r="FH212" s="246"/>
      <c r="FI212" s="246"/>
      <c r="FJ212" s="246"/>
      <c r="FK212" s="246"/>
      <c r="FL212" s="246"/>
      <c r="FM212" s="246"/>
      <c r="FN212" s="246"/>
      <c r="FO212" s="246"/>
      <c r="FP212" s="246"/>
      <c r="FQ212" s="246"/>
      <c r="FR212" s="246"/>
      <c r="FS212" s="246"/>
      <c r="FT212" s="246"/>
      <c r="FU212" s="246"/>
      <c r="FV212" s="246"/>
      <c r="FW212" s="246"/>
      <c r="FX212" s="246"/>
      <c r="FY212" s="246"/>
      <c r="FZ212" s="246"/>
      <c r="GA212" s="246"/>
      <c r="GB212" s="246"/>
      <c r="GC212" s="246"/>
    </row>
    <row r="213" spans="1:185" s="190" customFormat="1" ht="30" x14ac:dyDescent="0.25">
      <c r="A213" s="116" t="s">
        <v>108</v>
      </c>
      <c r="B213" s="274">
        <f>'2 уровень'!C340</f>
        <v>2000</v>
      </c>
      <c r="C213" s="274">
        <f>'2 уровень'!D340</f>
        <v>1333</v>
      </c>
      <c r="D213" s="689">
        <f>'2 уровень'!E340</f>
        <v>1134</v>
      </c>
      <c r="E213" s="275">
        <f>'2 уровень'!F340</f>
        <v>85.071267816954247</v>
      </c>
      <c r="F213" s="195">
        <f>'2 уровень'!G340</f>
        <v>4241.0200000000004</v>
      </c>
      <c r="G213" s="195">
        <f>'2 уровень'!H340</f>
        <v>2827.35</v>
      </c>
      <c r="H213" s="65">
        <f>'2 уровень'!I340</f>
        <v>2369.5704699999997</v>
      </c>
      <c r="I213" s="195">
        <f>'2 уровень'!J340</f>
        <v>83.808883583567635</v>
      </c>
      <c r="J213" s="247"/>
      <c r="K213" s="726"/>
      <c r="L213" s="727"/>
      <c r="M213" s="246"/>
      <c r="N213" s="246"/>
      <c r="O213" s="246"/>
      <c r="P213" s="246"/>
      <c r="Q213" s="246"/>
      <c r="R213" s="246"/>
      <c r="S213" s="246"/>
      <c r="T213" s="246"/>
      <c r="U213" s="246"/>
      <c r="V213" s="246"/>
      <c r="W213" s="246"/>
      <c r="X213" s="246"/>
      <c r="Y213" s="246"/>
      <c r="Z213" s="246"/>
      <c r="AA213" s="246"/>
      <c r="AB213" s="246"/>
      <c r="AC213" s="246"/>
      <c r="AD213" s="246"/>
      <c r="AE213" s="246"/>
      <c r="AF213" s="246"/>
      <c r="AG213" s="246"/>
      <c r="AH213" s="246"/>
      <c r="AI213" s="246"/>
      <c r="AJ213" s="246"/>
      <c r="AK213" s="246"/>
      <c r="AL213" s="246"/>
      <c r="AM213" s="246"/>
      <c r="AN213" s="246"/>
      <c r="AO213" s="246"/>
      <c r="AP213" s="246"/>
      <c r="AQ213" s="246"/>
      <c r="AR213" s="246"/>
      <c r="AS213" s="246"/>
      <c r="AT213" s="246"/>
      <c r="AU213" s="246"/>
      <c r="AV213" s="246"/>
      <c r="AW213" s="246"/>
      <c r="AX213" s="246"/>
      <c r="AY213" s="246"/>
      <c r="AZ213" s="246"/>
      <c r="BA213" s="246"/>
      <c r="BB213" s="246"/>
      <c r="BC213" s="246"/>
      <c r="BD213" s="246"/>
      <c r="BE213" s="246"/>
      <c r="BF213" s="246"/>
      <c r="BG213" s="246"/>
      <c r="BH213" s="246"/>
      <c r="BI213" s="246"/>
      <c r="BJ213" s="246"/>
      <c r="BK213" s="246"/>
      <c r="BL213" s="246"/>
      <c r="BM213" s="246"/>
      <c r="BN213" s="246"/>
      <c r="BO213" s="246"/>
      <c r="BP213" s="246"/>
      <c r="BQ213" s="246"/>
      <c r="BR213" s="246"/>
      <c r="BS213" s="246"/>
      <c r="BT213" s="246"/>
      <c r="BU213" s="246"/>
      <c r="BV213" s="246"/>
      <c r="BW213" s="246"/>
      <c r="BX213" s="246"/>
      <c r="BY213" s="246"/>
      <c r="BZ213" s="246"/>
      <c r="CA213" s="246"/>
      <c r="CB213" s="246"/>
      <c r="CC213" s="246"/>
      <c r="CD213" s="246"/>
      <c r="CE213" s="246"/>
      <c r="CF213" s="246"/>
      <c r="CG213" s="246"/>
      <c r="CH213" s="246"/>
      <c r="CI213" s="246"/>
      <c r="CJ213" s="246"/>
      <c r="CK213" s="246"/>
      <c r="CL213" s="246"/>
      <c r="CM213" s="246"/>
      <c r="CN213" s="246"/>
      <c r="CO213" s="246"/>
      <c r="CP213" s="246"/>
      <c r="CQ213" s="246"/>
      <c r="CR213" s="246"/>
      <c r="CS213" s="246"/>
      <c r="CT213" s="246"/>
      <c r="CU213" s="246"/>
      <c r="CV213" s="246"/>
      <c r="CW213" s="246"/>
      <c r="CX213" s="246"/>
      <c r="CY213" s="246"/>
      <c r="CZ213" s="246"/>
      <c r="DA213" s="246"/>
      <c r="DB213" s="246"/>
      <c r="DC213" s="246"/>
      <c r="DD213" s="246"/>
      <c r="DE213" s="246"/>
      <c r="DF213" s="246"/>
      <c r="DG213" s="246"/>
      <c r="DH213" s="246"/>
      <c r="DI213" s="246"/>
      <c r="DJ213" s="246"/>
      <c r="DK213" s="246"/>
      <c r="DL213" s="246"/>
      <c r="DM213" s="246"/>
      <c r="DN213" s="246"/>
      <c r="DO213" s="246"/>
      <c r="DP213" s="246"/>
      <c r="DQ213" s="246"/>
      <c r="DR213" s="246"/>
      <c r="DS213" s="246"/>
      <c r="DT213" s="246"/>
      <c r="DU213" s="246"/>
      <c r="DV213" s="246"/>
      <c r="DW213" s="246"/>
      <c r="DX213" s="246"/>
      <c r="DY213" s="246"/>
      <c r="DZ213" s="246"/>
      <c r="EA213" s="246"/>
      <c r="EB213" s="246"/>
      <c r="EC213" s="246"/>
      <c r="ED213" s="246"/>
      <c r="EE213" s="246"/>
      <c r="EF213" s="246"/>
      <c r="EG213" s="246"/>
      <c r="EH213" s="246"/>
      <c r="EI213" s="246"/>
      <c r="EJ213" s="246"/>
      <c r="EK213" s="246"/>
      <c r="EL213" s="246"/>
      <c r="EM213" s="246"/>
      <c r="EN213" s="246"/>
      <c r="EO213" s="246"/>
      <c r="EP213" s="246"/>
      <c r="EQ213" s="246"/>
      <c r="ER213" s="246"/>
      <c r="ES213" s="246"/>
      <c r="ET213" s="246"/>
      <c r="EU213" s="246"/>
      <c r="EV213" s="246"/>
      <c r="EW213" s="246"/>
      <c r="EX213" s="246"/>
      <c r="EY213" s="246"/>
      <c r="EZ213" s="246"/>
      <c r="FA213" s="246"/>
      <c r="FB213" s="246"/>
      <c r="FC213" s="246"/>
      <c r="FD213" s="246"/>
      <c r="FE213" s="246"/>
      <c r="FF213" s="246"/>
      <c r="FG213" s="246"/>
      <c r="FH213" s="246"/>
      <c r="FI213" s="246"/>
      <c r="FJ213" s="246"/>
      <c r="FK213" s="246"/>
      <c r="FL213" s="246"/>
      <c r="FM213" s="246"/>
      <c r="FN213" s="246"/>
      <c r="FO213" s="246"/>
      <c r="FP213" s="246"/>
      <c r="FQ213" s="246"/>
      <c r="FR213" s="246"/>
      <c r="FS213" s="246"/>
      <c r="FT213" s="246"/>
      <c r="FU213" s="246"/>
      <c r="FV213" s="246"/>
      <c r="FW213" s="246"/>
      <c r="FX213" s="246"/>
      <c r="FY213" s="246"/>
      <c r="FZ213" s="246"/>
      <c r="GA213" s="246"/>
      <c r="GB213" s="246"/>
      <c r="GC213" s="246"/>
    </row>
    <row r="214" spans="1:185" s="190" customFormat="1" ht="60" x14ac:dyDescent="0.25">
      <c r="A214" s="116" t="s">
        <v>81</v>
      </c>
      <c r="B214" s="274">
        <f>'2 уровень'!C341</f>
        <v>3200</v>
      </c>
      <c r="C214" s="274">
        <f>'2 уровень'!D341</f>
        <v>2133</v>
      </c>
      <c r="D214" s="689">
        <f>'2 уровень'!E341</f>
        <v>1517</v>
      </c>
      <c r="E214" s="275">
        <f>'2 уровень'!F341</f>
        <v>71.120487576183777</v>
      </c>
      <c r="F214" s="195">
        <f>'2 уровень'!G341</f>
        <v>8810.1440000000002</v>
      </c>
      <c r="G214" s="195">
        <f>'2 уровень'!H341</f>
        <v>5873.43</v>
      </c>
      <c r="H214" s="65">
        <f>'2 уровень'!I341</f>
        <v>4155.8159499999992</v>
      </c>
      <c r="I214" s="195">
        <f>'2 уровень'!J341</f>
        <v>70.756201231648276</v>
      </c>
      <c r="J214" s="247"/>
      <c r="K214" s="726"/>
      <c r="L214" s="727"/>
      <c r="M214" s="246"/>
      <c r="N214" s="246"/>
      <c r="O214" s="246"/>
      <c r="P214" s="246"/>
      <c r="Q214" s="246"/>
      <c r="R214" s="246"/>
      <c r="S214" s="246"/>
      <c r="T214" s="246"/>
      <c r="U214" s="246"/>
      <c r="V214" s="246"/>
      <c r="W214" s="246"/>
      <c r="X214" s="246"/>
      <c r="Y214" s="246"/>
      <c r="Z214" s="246"/>
      <c r="AA214" s="246"/>
      <c r="AB214" s="246"/>
      <c r="AC214" s="246"/>
      <c r="AD214" s="246"/>
      <c r="AE214" s="246"/>
      <c r="AF214" s="246"/>
      <c r="AG214" s="246"/>
      <c r="AH214" s="246"/>
      <c r="AI214" s="246"/>
      <c r="AJ214" s="246"/>
      <c r="AK214" s="246"/>
      <c r="AL214" s="246"/>
      <c r="AM214" s="246"/>
      <c r="AN214" s="246"/>
      <c r="AO214" s="246"/>
      <c r="AP214" s="246"/>
      <c r="AQ214" s="246"/>
      <c r="AR214" s="246"/>
      <c r="AS214" s="246"/>
      <c r="AT214" s="246"/>
      <c r="AU214" s="246"/>
      <c r="AV214" s="246"/>
      <c r="AW214" s="246"/>
      <c r="AX214" s="246"/>
      <c r="AY214" s="246"/>
      <c r="AZ214" s="246"/>
      <c r="BA214" s="246"/>
      <c r="BB214" s="246"/>
      <c r="BC214" s="246"/>
      <c r="BD214" s="246"/>
      <c r="BE214" s="246"/>
      <c r="BF214" s="246"/>
      <c r="BG214" s="246"/>
      <c r="BH214" s="246"/>
      <c r="BI214" s="246"/>
      <c r="BJ214" s="246"/>
      <c r="BK214" s="246"/>
      <c r="BL214" s="246"/>
      <c r="BM214" s="246"/>
      <c r="BN214" s="246"/>
      <c r="BO214" s="246"/>
      <c r="BP214" s="246"/>
      <c r="BQ214" s="246"/>
      <c r="BR214" s="246"/>
      <c r="BS214" s="246"/>
      <c r="BT214" s="246"/>
      <c r="BU214" s="246"/>
      <c r="BV214" s="246"/>
      <c r="BW214" s="246"/>
      <c r="BX214" s="246"/>
      <c r="BY214" s="246"/>
      <c r="BZ214" s="246"/>
      <c r="CA214" s="246"/>
      <c r="CB214" s="246"/>
      <c r="CC214" s="246"/>
      <c r="CD214" s="246"/>
      <c r="CE214" s="246"/>
      <c r="CF214" s="246"/>
      <c r="CG214" s="246"/>
      <c r="CH214" s="246"/>
      <c r="CI214" s="246"/>
      <c r="CJ214" s="246"/>
      <c r="CK214" s="246"/>
      <c r="CL214" s="246"/>
      <c r="CM214" s="246"/>
      <c r="CN214" s="246"/>
      <c r="CO214" s="246"/>
      <c r="CP214" s="246"/>
      <c r="CQ214" s="246"/>
      <c r="CR214" s="246"/>
      <c r="CS214" s="246"/>
      <c r="CT214" s="246"/>
      <c r="CU214" s="246"/>
      <c r="CV214" s="246"/>
      <c r="CW214" s="246"/>
      <c r="CX214" s="246"/>
      <c r="CY214" s="246"/>
      <c r="CZ214" s="246"/>
      <c r="DA214" s="246"/>
      <c r="DB214" s="246"/>
      <c r="DC214" s="246"/>
      <c r="DD214" s="246"/>
      <c r="DE214" s="246"/>
      <c r="DF214" s="246"/>
      <c r="DG214" s="246"/>
      <c r="DH214" s="246"/>
      <c r="DI214" s="246"/>
      <c r="DJ214" s="246"/>
      <c r="DK214" s="246"/>
      <c r="DL214" s="246"/>
      <c r="DM214" s="246"/>
      <c r="DN214" s="246"/>
      <c r="DO214" s="246"/>
      <c r="DP214" s="246"/>
      <c r="DQ214" s="246"/>
      <c r="DR214" s="246"/>
      <c r="DS214" s="246"/>
      <c r="DT214" s="246"/>
      <c r="DU214" s="246"/>
      <c r="DV214" s="246"/>
      <c r="DW214" s="246"/>
      <c r="DX214" s="246"/>
      <c r="DY214" s="246"/>
      <c r="DZ214" s="246"/>
      <c r="EA214" s="246"/>
      <c r="EB214" s="246"/>
      <c r="EC214" s="246"/>
      <c r="ED214" s="246"/>
      <c r="EE214" s="246"/>
      <c r="EF214" s="246"/>
      <c r="EG214" s="246"/>
      <c r="EH214" s="246"/>
      <c r="EI214" s="246"/>
      <c r="EJ214" s="246"/>
      <c r="EK214" s="246"/>
      <c r="EL214" s="246"/>
      <c r="EM214" s="246"/>
      <c r="EN214" s="246"/>
      <c r="EO214" s="246"/>
      <c r="EP214" s="246"/>
      <c r="EQ214" s="246"/>
      <c r="ER214" s="246"/>
      <c r="ES214" s="246"/>
      <c r="ET214" s="246"/>
      <c r="EU214" s="246"/>
      <c r="EV214" s="246"/>
      <c r="EW214" s="246"/>
      <c r="EX214" s="246"/>
      <c r="EY214" s="246"/>
      <c r="EZ214" s="246"/>
      <c r="FA214" s="246"/>
      <c r="FB214" s="246"/>
      <c r="FC214" s="246"/>
      <c r="FD214" s="246"/>
      <c r="FE214" s="246"/>
      <c r="FF214" s="246"/>
      <c r="FG214" s="246"/>
      <c r="FH214" s="246"/>
      <c r="FI214" s="246"/>
      <c r="FJ214" s="246"/>
      <c r="FK214" s="246"/>
      <c r="FL214" s="246"/>
      <c r="FM214" s="246"/>
      <c r="FN214" s="246"/>
      <c r="FO214" s="246"/>
      <c r="FP214" s="246"/>
      <c r="FQ214" s="246"/>
      <c r="FR214" s="246"/>
      <c r="FS214" s="246"/>
      <c r="FT214" s="246"/>
      <c r="FU214" s="246"/>
      <c r="FV214" s="246"/>
      <c r="FW214" s="246"/>
      <c r="FX214" s="246"/>
      <c r="FY214" s="246"/>
      <c r="FZ214" s="246"/>
      <c r="GA214" s="246"/>
      <c r="GB214" s="246"/>
      <c r="GC214" s="246"/>
    </row>
    <row r="215" spans="1:185" s="190" customFormat="1" ht="45" x14ac:dyDescent="0.25">
      <c r="A215" s="116" t="s">
        <v>109</v>
      </c>
      <c r="B215" s="274">
        <f>'2 уровень'!C342</f>
        <v>2160</v>
      </c>
      <c r="C215" s="274">
        <f>'2 уровень'!D342</f>
        <v>1440</v>
      </c>
      <c r="D215" s="689">
        <f>'2 уровень'!E342</f>
        <v>725</v>
      </c>
      <c r="E215" s="275">
        <f>'2 уровень'!F342</f>
        <v>50.347222222222221</v>
      </c>
      <c r="F215" s="195">
        <f>'2 уровень'!G342</f>
        <v>2117.1456000000003</v>
      </c>
      <c r="G215" s="195">
        <f>'2 уровень'!H342</f>
        <v>1411.43</v>
      </c>
      <c r="H215" s="65">
        <f>'2 уровень'!I342</f>
        <v>755.88070999999991</v>
      </c>
      <c r="I215" s="195">
        <f>'2 уровень'!J342</f>
        <v>53.554247111085907</v>
      </c>
      <c r="J215" s="247"/>
      <c r="K215" s="726"/>
      <c r="L215" s="727"/>
      <c r="M215" s="246"/>
      <c r="N215" s="246"/>
      <c r="O215" s="246"/>
      <c r="P215" s="246"/>
      <c r="Q215" s="246"/>
      <c r="R215" s="246"/>
      <c r="S215" s="246"/>
      <c r="T215" s="246"/>
      <c r="U215" s="246"/>
      <c r="V215" s="246"/>
      <c r="W215" s="246"/>
      <c r="X215" s="246"/>
      <c r="Y215" s="246"/>
      <c r="Z215" s="246"/>
      <c r="AA215" s="246"/>
      <c r="AB215" s="246"/>
      <c r="AC215" s="246"/>
      <c r="AD215" s="246"/>
      <c r="AE215" s="246"/>
      <c r="AF215" s="246"/>
      <c r="AG215" s="246"/>
      <c r="AH215" s="246"/>
      <c r="AI215" s="246"/>
      <c r="AJ215" s="246"/>
      <c r="AK215" s="246"/>
      <c r="AL215" s="246"/>
      <c r="AM215" s="246"/>
      <c r="AN215" s="246"/>
      <c r="AO215" s="246"/>
      <c r="AP215" s="246"/>
      <c r="AQ215" s="246"/>
      <c r="AR215" s="246"/>
      <c r="AS215" s="246"/>
      <c r="AT215" s="246"/>
      <c r="AU215" s="246"/>
      <c r="AV215" s="246"/>
      <c r="AW215" s="246"/>
      <c r="AX215" s="246"/>
      <c r="AY215" s="246"/>
      <c r="AZ215" s="246"/>
      <c r="BA215" s="246"/>
      <c r="BB215" s="246"/>
      <c r="BC215" s="246"/>
      <c r="BD215" s="246"/>
      <c r="BE215" s="246"/>
      <c r="BF215" s="246"/>
      <c r="BG215" s="246"/>
      <c r="BH215" s="246"/>
      <c r="BI215" s="246"/>
      <c r="BJ215" s="246"/>
      <c r="BK215" s="246"/>
      <c r="BL215" s="246"/>
      <c r="BM215" s="246"/>
      <c r="BN215" s="246"/>
      <c r="BO215" s="246"/>
      <c r="BP215" s="246"/>
      <c r="BQ215" s="246"/>
      <c r="BR215" s="246"/>
      <c r="BS215" s="246"/>
      <c r="BT215" s="246"/>
      <c r="BU215" s="246"/>
      <c r="BV215" s="246"/>
      <c r="BW215" s="246"/>
      <c r="BX215" s="246"/>
      <c r="BY215" s="246"/>
      <c r="BZ215" s="246"/>
      <c r="CA215" s="246"/>
      <c r="CB215" s="246"/>
      <c r="CC215" s="246"/>
      <c r="CD215" s="246"/>
      <c r="CE215" s="246"/>
      <c r="CF215" s="246"/>
      <c r="CG215" s="246"/>
      <c r="CH215" s="246"/>
      <c r="CI215" s="246"/>
      <c r="CJ215" s="246"/>
      <c r="CK215" s="246"/>
      <c r="CL215" s="246"/>
      <c r="CM215" s="246"/>
      <c r="CN215" s="246"/>
      <c r="CO215" s="246"/>
      <c r="CP215" s="246"/>
      <c r="CQ215" s="246"/>
      <c r="CR215" s="246"/>
      <c r="CS215" s="246"/>
      <c r="CT215" s="246"/>
      <c r="CU215" s="246"/>
      <c r="CV215" s="246"/>
      <c r="CW215" s="246"/>
      <c r="CX215" s="246"/>
      <c r="CY215" s="246"/>
      <c r="CZ215" s="246"/>
      <c r="DA215" s="246"/>
      <c r="DB215" s="246"/>
      <c r="DC215" s="246"/>
      <c r="DD215" s="246"/>
      <c r="DE215" s="246"/>
      <c r="DF215" s="246"/>
      <c r="DG215" s="246"/>
      <c r="DH215" s="246"/>
      <c r="DI215" s="246"/>
      <c r="DJ215" s="246"/>
      <c r="DK215" s="246"/>
      <c r="DL215" s="246"/>
      <c r="DM215" s="246"/>
      <c r="DN215" s="246"/>
      <c r="DO215" s="246"/>
      <c r="DP215" s="246"/>
      <c r="DQ215" s="246"/>
      <c r="DR215" s="246"/>
      <c r="DS215" s="246"/>
      <c r="DT215" s="246"/>
      <c r="DU215" s="246"/>
      <c r="DV215" s="246"/>
      <c r="DW215" s="246"/>
      <c r="DX215" s="246"/>
      <c r="DY215" s="246"/>
      <c r="DZ215" s="246"/>
      <c r="EA215" s="246"/>
      <c r="EB215" s="246"/>
      <c r="EC215" s="246"/>
      <c r="ED215" s="246"/>
      <c r="EE215" s="246"/>
      <c r="EF215" s="246"/>
      <c r="EG215" s="246"/>
      <c r="EH215" s="246"/>
      <c r="EI215" s="246"/>
      <c r="EJ215" s="246"/>
      <c r="EK215" s="246"/>
      <c r="EL215" s="246"/>
      <c r="EM215" s="246"/>
      <c r="EN215" s="246"/>
      <c r="EO215" s="246"/>
      <c r="EP215" s="246"/>
      <c r="EQ215" s="246"/>
      <c r="ER215" s="246"/>
      <c r="ES215" s="246"/>
      <c r="ET215" s="246"/>
      <c r="EU215" s="246"/>
      <c r="EV215" s="246"/>
      <c r="EW215" s="246"/>
      <c r="EX215" s="246"/>
      <c r="EY215" s="246"/>
      <c r="EZ215" s="246"/>
      <c r="FA215" s="246"/>
      <c r="FB215" s="246"/>
      <c r="FC215" s="246"/>
      <c r="FD215" s="246"/>
      <c r="FE215" s="246"/>
      <c r="FF215" s="246"/>
      <c r="FG215" s="246"/>
      <c r="FH215" s="246"/>
      <c r="FI215" s="246"/>
      <c r="FJ215" s="246"/>
      <c r="FK215" s="246"/>
      <c r="FL215" s="246"/>
      <c r="FM215" s="246"/>
      <c r="FN215" s="246"/>
      <c r="FO215" s="246"/>
      <c r="FP215" s="246"/>
      <c r="FQ215" s="246"/>
      <c r="FR215" s="246"/>
      <c r="FS215" s="246"/>
      <c r="FT215" s="246"/>
      <c r="FU215" s="246"/>
      <c r="FV215" s="246"/>
      <c r="FW215" s="246"/>
      <c r="FX215" s="246"/>
      <c r="FY215" s="246"/>
      <c r="FZ215" s="246"/>
      <c r="GA215" s="246"/>
      <c r="GB215" s="246"/>
      <c r="GC215" s="246"/>
    </row>
    <row r="216" spans="1:185" s="190" customFormat="1" ht="30" x14ac:dyDescent="0.25">
      <c r="A216" s="116" t="s">
        <v>123</v>
      </c>
      <c r="B216" s="274">
        <f>'2 уровень'!C343</f>
        <v>12300</v>
      </c>
      <c r="C216" s="274">
        <f>'2 уровень'!D343</f>
        <v>8200</v>
      </c>
      <c r="D216" s="689">
        <f>'2 уровень'!E343</f>
        <v>9147</v>
      </c>
      <c r="E216" s="275">
        <f>'2 уровень'!F343</f>
        <v>111.54878048780488</v>
      </c>
      <c r="F216" s="195">
        <f>'2 уровень'!G343</f>
        <v>11970.606</v>
      </c>
      <c r="G216" s="195">
        <f>'2 уровень'!H343</f>
        <v>7980.4</v>
      </c>
      <c r="H216" s="65">
        <f>'2 уровень'!I343</f>
        <v>8898.6920800000007</v>
      </c>
      <c r="I216" s="195">
        <f>'2 уровень'!J343</f>
        <v>111.50684276477372</v>
      </c>
      <c r="J216" s="103"/>
      <c r="K216" s="103"/>
      <c r="L216" s="103"/>
      <c r="M216" s="246"/>
      <c r="N216" s="246"/>
      <c r="O216" s="246"/>
      <c r="P216" s="246"/>
      <c r="Q216" s="246"/>
      <c r="R216" s="246"/>
      <c r="S216" s="246"/>
      <c r="T216" s="246"/>
      <c r="U216" s="246"/>
      <c r="V216" s="246"/>
      <c r="W216" s="246"/>
      <c r="X216" s="246"/>
      <c r="Y216" s="246"/>
      <c r="Z216" s="246"/>
      <c r="AA216" s="246"/>
      <c r="AB216" s="246"/>
      <c r="AC216" s="246"/>
      <c r="AD216" s="246"/>
      <c r="AE216" s="246"/>
      <c r="AF216" s="246"/>
      <c r="AG216" s="246"/>
      <c r="AH216" s="246"/>
      <c r="AI216" s="246"/>
      <c r="AJ216" s="246"/>
      <c r="AK216" s="246"/>
      <c r="AL216" s="246"/>
      <c r="AM216" s="246"/>
      <c r="AN216" s="246"/>
      <c r="AO216" s="246"/>
      <c r="AP216" s="246"/>
      <c r="AQ216" s="246"/>
      <c r="AR216" s="246"/>
      <c r="AS216" s="246"/>
      <c r="AT216" s="246"/>
      <c r="AU216" s="246"/>
      <c r="AV216" s="246"/>
      <c r="AW216" s="246"/>
      <c r="AX216" s="246"/>
      <c r="AY216" s="246"/>
      <c r="AZ216" s="246"/>
      <c r="BA216" s="246"/>
      <c r="BB216" s="246"/>
      <c r="BC216" s="246"/>
      <c r="BD216" s="246"/>
      <c r="BE216" s="246"/>
      <c r="BF216" s="246"/>
      <c r="BG216" s="246"/>
      <c r="BH216" s="246"/>
      <c r="BI216" s="246"/>
      <c r="BJ216" s="246"/>
      <c r="BK216" s="246"/>
      <c r="BL216" s="246"/>
      <c r="BM216" s="246"/>
      <c r="BN216" s="246"/>
      <c r="BO216" s="246"/>
      <c r="BP216" s="246"/>
      <c r="BQ216" s="246"/>
      <c r="BR216" s="246"/>
      <c r="BS216" s="246"/>
      <c r="BT216" s="246"/>
      <c r="BU216" s="246"/>
      <c r="BV216" s="246"/>
      <c r="BW216" s="246"/>
      <c r="BX216" s="246"/>
      <c r="BY216" s="246"/>
      <c r="BZ216" s="246"/>
      <c r="CA216" s="246"/>
      <c r="CB216" s="246"/>
      <c r="CC216" s="246"/>
      <c r="CD216" s="246"/>
      <c r="CE216" s="246"/>
      <c r="CF216" s="246"/>
      <c r="CG216" s="246"/>
      <c r="CH216" s="246"/>
      <c r="CI216" s="246"/>
      <c r="CJ216" s="246"/>
      <c r="CK216" s="246"/>
      <c r="CL216" s="246"/>
      <c r="CM216" s="246"/>
      <c r="CN216" s="246"/>
      <c r="CO216" s="246"/>
      <c r="CP216" s="246"/>
      <c r="CQ216" s="246"/>
      <c r="CR216" s="246"/>
      <c r="CS216" s="246"/>
      <c r="CT216" s="246"/>
      <c r="CU216" s="246"/>
      <c r="CV216" s="246"/>
      <c r="CW216" s="246"/>
      <c r="CX216" s="246"/>
      <c r="CY216" s="246"/>
      <c r="CZ216" s="246"/>
      <c r="DA216" s="246"/>
      <c r="DB216" s="246"/>
      <c r="DC216" s="246"/>
      <c r="DD216" s="246"/>
      <c r="DE216" s="246"/>
      <c r="DF216" s="246"/>
      <c r="DG216" s="246"/>
      <c r="DH216" s="246"/>
      <c r="DI216" s="246"/>
      <c r="DJ216" s="246"/>
      <c r="DK216" s="246"/>
      <c r="DL216" s="246"/>
      <c r="DM216" s="246"/>
      <c r="DN216" s="246"/>
      <c r="DO216" s="246"/>
      <c r="DP216" s="246"/>
      <c r="DQ216" s="246"/>
      <c r="DR216" s="246"/>
      <c r="DS216" s="246"/>
      <c r="DT216" s="246"/>
      <c r="DU216" s="246"/>
      <c r="DV216" s="246"/>
      <c r="DW216" s="246"/>
      <c r="DX216" s="246"/>
      <c r="DY216" s="246"/>
      <c r="DZ216" s="246"/>
      <c r="EA216" s="246"/>
      <c r="EB216" s="246"/>
      <c r="EC216" s="246"/>
      <c r="ED216" s="246"/>
      <c r="EE216" s="246"/>
      <c r="EF216" s="246"/>
      <c r="EG216" s="246"/>
      <c r="EH216" s="246"/>
      <c r="EI216" s="246"/>
      <c r="EJ216" s="246"/>
      <c r="EK216" s="246"/>
      <c r="EL216" s="246"/>
      <c r="EM216" s="246"/>
      <c r="EN216" s="246"/>
      <c r="EO216" s="246"/>
      <c r="EP216" s="246"/>
      <c r="EQ216" s="246"/>
      <c r="ER216" s="246"/>
      <c r="ES216" s="246"/>
      <c r="ET216" s="246"/>
      <c r="EU216" s="246"/>
      <c r="EV216" s="246"/>
      <c r="EW216" s="246"/>
      <c r="EX216" s="246"/>
      <c r="EY216" s="246"/>
      <c r="EZ216" s="246"/>
      <c r="FA216" s="246"/>
      <c r="FB216" s="246"/>
      <c r="FC216" s="246"/>
      <c r="FD216" s="246"/>
      <c r="FE216" s="246"/>
      <c r="FF216" s="246"/>
      <c r="FG216" s="246"/>
      <c r="FH216" s="246"/>
      <c r="FI216" s="246"/>
      <c r="FJ216" s="246"/>
      <c r="FK216" s="246"/>
      <c r="FL216" s="246"/>
      <c r="FM216" s="246"/>
      <c r="FN216" s="246"/>
      <c r="FO216" s="246"/>
      <c r="FP216" s="246"/>
      <c r="FQ216" s="246"/>
      <c r="FR216" s="246"/>
      <c r="FS216" s="246"/>
      <c r="FT216" s="246"/>
      <c r="FU216" s="246"/>
      <c r="FV216" s="246"/>
      <c r="FW216" s="246"/>
      <c r="FX216" s="246"/>
      <c r="FY216" s="246"/>
      <c r="FZ216" s="246"/>
      <c r="GA216" s="246"/>
      <c r="GB216" s="246"/>
      <c r="GC216" s="246"/>
    </row>
    <row r="217" spans="1:185" s="190" customFormat="1" ht="15.75" thickBot="1" x14ac:dyDescent="0.3">
      <c r="A217" s="112" t="s">
        <v>4</v>
      </c>
      <c r="B217" s="274">
        <f>'2 уровень'!C344</f>
        <v>0</v>
      </c>
      <c r="C217" s="274">
        <f>'2 уровень'!D344</f>
        <v>0</v>
      </c>
      <c r="D217" s="689">
        <f>'2 уровень'!E344</f>
        <v>0</v>
      </c>
      <c r="E217" s="275">
        <f>'2 уровень'!F344</f>
        <v>0</v>
      </c>
      <c r="F217" s="195">
        <f>'2 уровень'!G344</f>
        <v>33454.009270000002</v>
      </c>
      <c r="G217" s="195">
        <f>'2 уровень'!H344</f>
        <v>22302.67</v>
      </c>
      <c r="H217" s="65">
        <f>'2 уровень'!I344</f>
        <v>21865.979039999998</v>
      </c>
      <c r="I217" s="195">
        <f>'2 уровень'!J344</f>
        <v>98.041979009688077</v>
      </c>
      <c r="J217" s="247"/>
      <c r="K217" s="726"/>
      <c r="L217" s="727"/>
      <c r="M217" s="246"/>
      <c r="N217" s="246"/>
      <c r="O217" s="246"/>
      <c r="P217" s="246"/>
      <c r="Q217" s="246"/>
      <c r="R217" s="246"/>
      <c r="S217" s="246"/>
      <c r="T217" s="246"/>
      <c r="U217" s="246"/>
      <c r="V217" s="246"/>
      <c r="W217" s="246"/>
      <c r="X217" s="246"/>
      <c r="Y217" s="246"/>
      <c r="Z217" s="246"/>
      <c r="AA217" s="246"/>
      <c r="AB217" s="246"/>
      <c r="AC217" s="246"/>
      <c r="AD217" s="246"/>
      <c r="AE217" s="246"/>
      <c r="AF217" s="246"/>
      <c r="AG217" s="246"/>
      <c r="AH217" s="246"/>
      <c r="AI217" s="246"/>
      <c r="AJ217" s="246"/>
      <c r="AK217" s="246"/>
      <c r="AL217" s="246"/>
      <c r="AM217" s="246"/>
      <c r="AN217" s="246"/>
      <c r="AO217" s="246"/>
      <c r="AP217" s="246"/>
      <c r="AQ217" s="246"/>
      <c r="AR217" s="246"/>
      <c r="AS217" s="246"/>
      <c r="AT217" s="246"/>
      <c r="AU217" s="246"/>
      <c r="AV217" s="246"/>
      <c r="AW217" s="246"/>
      <c r="AX217" s="246"/>
      <c r="AY217" s="246"/>
      <c r="AZ217" s="246"/>
      <c r="BA217" s="246"/>
      <c r="BB217" s="246"/>
      <c r="BC217" s="246"/>
      <c r="BD217" s="246"/>
      <c r="BE217" s="246"/>
      <c r="BF217" s="246"/>
      <c r="BG217" s="246"/>
      <c r="BH217" s="246"/>
      <c r="BI217" s="246"/>
      <c r="BJ217" s="246"/>
      <c r="BK217" s="246"/>
      <c r="BL217" s="246"/>
      <c r="BM217" s="246"/>
      <c r="BN217" s="246"/>
      <c r="BO217" s="246"/>
      <c r="BP217" s="246"/>
      <c r="BQ217" s="246"/>
      <c r="BR217" s="246"/>
      <c r="BS217" s="246"/>
      <c r="BT217" s="246"/>
      <c r="BU217" s="246"/>
      <c r="BV217" s="246"/>
      <c r="BW217" s="246"/>
      <c r="BX217" s="246"/>
      <c r="BY217" s="246"/>
      <c r="BZ217" s="246"/>
      <c r="CA217" s="246"/>
      <c r="CB217" s="246"/>
      <c r="CC217" s="246"/>
      <c r="CD217" s="246"/>
      <c r="CE217" s="246"/>
      <c r="CF217" s="246"/>
      <c r="CG217" s="246"/>
      <c r="CH217" s="246"/>
      <c r="CI217" s="246"/>
      <c r="CJ217" s="246"/>
      <c r="CK217" s="246"/>
      <c r="CL217" s="246"/>
      <c r="CM217" s="246"/>
      <c r="CN217" s="246"/>
      <c r="CO217" s="246"/>
      <c r="CP217" s="246"/>
      <c r="CQ217" s="246"/>
      <c r="CR217" s="246"/>
      <c r="CS217" s="246"/>
      <c r="CT217" s="246"/>
      <c r="CU217" s="246"/>
      <c r="CV217" s="246"/>
      <c r="CW217" s="246"/>
      <c r="CX217" s="246"/>
      <c r="CY217" s="246"/>
      <c r="CZ217" s="246"/>
      <c r="DA217" s="246"/>
      <c r="DB217" s="246"/>
      <c r="DC217" s="246"/>
      <c r="DD217" s="246"/>
      <c r="DE217" s="246"/>
      <c r="DF217" s="246"/>
      <c r="DG217" s="246"/>
      <c r="DH217" s="246"/>
      <c r="DI217" s="246"/>
      <c r="DJ217" s="246"/>
      <c r="DK217" s="246"/>
      <c r="DL217" s="246"/>
      <c r="DM217" s="246"/>
      <c r="DN217" s="246"/>
      <c r="DO217" s="246"/>
      <c r="DP217" s="246"/>
      <c r="DQ217" s="246"/>
      <c r="DR217" s="246"/>
      <c r="DS217" s="246"/>
      <c r="DT217" s="246"/>
      <c r="DU217" s="246"/>
      <c r="DV217" s="246"/>
      <c r="DW217" s="246"/>
      <c r="DX217" s="246"/>
      <c r="DY217" s="246"/>
      <c r="DZ217" s="246"/>
      <c r="EA217" s="246"/>
      <c r="EB217" s="246"/>
      <c r="EC217" s="246"/>
      <c r="ED217" s="246"/>
      <c r="EE217" s="246"/>
      <c r="EF217" s="246"/>
      <c r="EG217" s="246"/>
      <c r="EH217" s="246"/>
      <c r="EI217" s="246"/>
      <c r="EJ217" s="246"/>
      <c r="EK217" s="246"/>
      <c r="EL217" s="246"/>
      <c r="EM217" s="246"/>
      <c r="EN217" s="246"/>
      <c r="EO217" s="246"/>
      <c r="EP217" s="246"/>
      <c r="EQ217" s="246"/>
      <c r="ER217" s="246"/>
      <c r="ES217" s="246"/>
      <c r="ET217" s="246"/>
      <c r="EU217" s="246"/>
      <c r="EV217" s="246"/>
      <c r="EW217" s="246"/>
      <c r="EX217" s="246"/>
      <c r="EY217" s="246"/>
      <c r="EZ217" s="246"/>
      <c r="FA217" s="246"/>
      <c r="FB217" s="246"/>
      <c r="FC217" s="246"/>
      <c r="FD217" s="246"/>
      <c r="FE217" s="246"/>
      <c r="FF217" s="246"/>
      <c r="FG217" s="246"/>
      <c r="FH217" s="246"/>
      <c r="FI217" s="246"/>
      <c r="FJ217" s="246"/>
      <c r="FK217" s="246"/>
      <c r="FL217" s="246"/>
      <c r="FM217" s="246"/>
      <c r="FN217" s="246"/>
      <c r="FO217" s="246"/>
      <c r="FP217" s="246"/>
      <c r="FQ217" s="246"/>
      <c r="FR217" s="246"/>
      <c r="FS217" s="246"/>
      <c r="FT217" s="246"/>
      <c r="FU217" s="246"/>
      <c r="FV217" s="246"/>
      <c r="FW217" s="246"/>
      <c r="FX217" s="246"/>
      <c r="FY217" s="246"/>
      <c r="FZ217" s="246"/>
      <c r="GA217" s="246"/>
      <c r="GB217" s="246"/>
      <c r="GC217" s="246"/>
    </row>
    <row r="218" spans="1:185" ht="15" customHeight="1" x14ac:dyDescent="0.25">
      <c r="A218" s="96" t="s">
        <v>30</v>
      </c>
      <c r="B218" s="97"/>
      <c r="C218" s="97"/>
      <c r="D218" s="97"/>
      <c r="E218" s="183"/>
      <c r="F218" s="98"/>
      <c r="G218" s="98"/>
      <c r="H218" s="98"/>
      <c r="I218" s="98"/>
      <c r="J218" s="103"/>
      <c r="L218" s="727"/>
      <c r="M218" s="45"/>
      <c r="N218" s="45"/>
      <c r="O218" s="45"/>
      <c r="P218" s="45"/>
      <c r="Q218" s="45"/>
      <c r="R218" s="45"/>
      <c r="S218" s="45"/>
      <c r="T218" s="45"/>
      <c r="U218" s="45"/>
      <c r="V218" s="45"/>
      <c r="W218" s="45"/>
      <c r="X218" s="45"/>
      <c r="Y218" s="45"/>
      <c r="Z218" s="45"/>
      <c r="AA218" s="45"/>
      <c r="AB218" s="45"/>
      <c r="AC218" s="45"/>
      <c r="AD218" s="45"/>
      <c r="AE218" s="45"/>
      <c r="AF218" s="45"/>
      <c r="AG218" s="45"/>
      <c r="AH218" s="45"/>
      <c r="AI218" s="45"/>
      <c r="AJ218" s="45"/>
      <c r="AK218" s="45"/>
      <c r="AL218" s="45"/>
      <c r="AM218" s="45"/>
      <c r="AN218" s="45"/>
      <c r="AO218" s="45"/>
      <c r="AP218" s="45"/>
      <c r="AQ218" s="45"/>
      <c r="AR218" s="45"/>
      <c r="AS218" s="45"/>
      <c r="AT218" s="45"/>
      <c r="AU218" s="45"/>
      <c r="AV218" s="45"/>
      <c r="AW218" s="45"/>
      <c r="AX218" s="45"/>
      <c r="AY218" s="45"/>
      <c r="AZ218" s="45"/>
      <c r="BA218" s="45"/>
      <c r="BB218" s="45"/>
      <c r="BC218" s="45"/>
      <c r="BD218" s="45"/>
      <c r="BE218" s="45"/>
      <c r="BF218" s="45"/>
      <c r="BG218" s="45"/>
      <c r="BH218" s="45"/>
      <c r="BI218" s="45"/>
      <c r="BJ218" s="45"/>
      <c r="BK218" s="45"/>
      <c r="BL218" s="45"/>
      <c r="BM218" s="45"/>
      <c r="BN218" s="45"/>
      <c r="BO218" s="45"/>
      <c r="BP218" s="45"/>
      <c r="BQ218" s="45"/>
      <c r="BR218" s="45"/>
      <c r="BS218" s="45"/>
      <c r="BT218" s="45"/>
      <c r="BU218" s="45"/>
      <c r="BV218" s="45"/>
      <c r="BW218" s="45"/>
      <c r="BX218" s="45"/>
      <c r="BY218" s="45"/>
      <c r="BZ218" s="45"/>
      <c r="CA218" s="45"/>
      <c r="CB218" s="45"/>
      <c r="CC218" s="45"/>
      <c r="CD218" s="45"/>
      <c r="CE218" s="45"/>
      <c r="CF218" s="45"/>
      <c r="CG218" s="45"/>
      <c r="CH218" s="45"/>
      <c r="CI218" s="45"/>
      <c r="CJ218" s="45"/>
      <c r="CK218" s="45"/>
      <c r="CL218" s="45"/>
      <c r="CM218" s="45"/>
      <c r="CN218" s="45"/>
      <c r="CO218" s="45"/>
      <c r="CP218" s="45"/>
      <c r="CQ218" s="45"/>
      <c r="CR218" s="45"/>
      <c r="CS218" s="45"/>
      <c r="CT218" s="45"/>
      <c r="CU218" s="45"/>
      <c r="CV218" s="45"/>
      <c r="CW218" s="45"/>
      <c r="CX218" s="45"/>
      <c r="CY218" s="45"/>
      <c r="CZ218" s="45"/>
      <c r="DA218" s="45"/>
      <c r="DB218" s="45"/>
      <c r="DC218" s="45"/>
      <c r="DD218" s="45"/>
      <c r="DE218" s="45"/>
      <c r="DF218" s="45"/>
      <c r="DG218" s="45"/>
      <c r="DH218" s="45"/>
      <c r="DI218" s="45"/>
      <c r="DJ218" s="45"/>
      <c r="DK218" s="45"/>
      <c r="DL218" s="45"/>
      <c r="DM218" s="45"/>
      <c r="DN218" s="45"/>
      <c r="DO218" s="45"/>
      <c r="DP218" s="45"/>
      <c r="DQ218" s="45"/>
      <c r="DR218" s="45"/>
      <c r="DS218" s="45"/>
      <c r="DT218" s="45"/>
      <c r="DU218" s="45"/>
      <c r="DV218" s="45"/>
      <c r="DW218" s="45"/>
      <c r="DX218" s="45"/>
      <c r="DY218" s="45"/>
      <c r="DZ218" s="45"/>
      <c r="EA218" s="45"/>
      <c r="EB218" s="45"/>
      <c r="EC218" s="45"/>
      <c r="ED218" s="45"/>
      <c r="EE218" s="45"/>
      <c r="EF218" s="45"/>
      <c r="EG218" s="45"/>
      <c r="EH218" s="45"/>
      <c r="EI218" s="45"/>
      <c r="EJ218" s="45"/>
      <c r="EK218" s="45"/>
      <c r="EL218" s="45"/>
      <c r="EM218" s="45"/>
      <c r="EN218" s="45"/>
      <c r="EO218" s="45"/>
      <c r="EP218" s="45"/>
      <c r="EQ218" s="45"/>
      <c r="ER218" s="45"/>
      <c r="ES218" s="45"/>
      <c r="ET218" s="45"/>
      <c r="EU218" s="45"/>
      <c r="EV218" s="45"/>
      <c r="EW218" s="45"/>
      <c r="EX218" s="45"/>
      <c r="EY218" s="45"/>
      <c r="EZ218" s="45"/>
      <c r="FA218" s="45"/>
      <c r="FB218" s="45"/>
      <c r="FC218" s="45"/>
      <c r="FD218" s="45"/>
      <c r="FE218" s="45"/>
      <c r="FF218" s="45"/>
      <c r="FG218" s="45"/>
      <c r="FH218" s="45"/>
      <c r="FI218" s="45"/>
      <c r="FJ218" s="45"/>
      <c r="FK218" s="45"/>
      <c r="FL218" s="45"/>
      <c r="FM218" s="45"/>
      <c r="FN218" s="45"/>
      <c r="FO218" s="45"/>
      <c r="FP218" s="45"/>
      <c r="FQ218" s="45"/>
      <c r="FR218" s="45"/>
      <c r="FS218" s="45"/>
      <c r="FT218" s="45"/>
      <c r="FU218" s="45"/>
      <c r="FV218" s="45"/>
      <c r="FW218" s="45"/>
      <c r="FX218" s="45"/>
      <c r="FY218" s="45"/>
      <c r="FZ218" s="45"/>
      <c r="GA218" s="45"/>
      <c r="GB218" s="45"/>
      <c r="GC218" s="45"/>
    </row>
    <row r="219" spans="1:185" ht="30" x14ac:dyDescent="0.25">
      <c r="A219" s="542" t="s">
        <v>120</v>
      </c>
      <c r="B219" s="539">
        <f>'2 уровень'!C359</f>
        <v>400</v>
      </c>
      <c r="C219" s="539">
        <f>'2 уровень'!D359</f>
        <v>266</v>
      </c>
      <c r="D219" s="539">
        <f>'2 уровень'!E359</f>
        <v>215</v>
      </c>
      <c r="E219" s="540">
        <f>'2 уровень'!F359</f>
        <v>80.827067669172934</v>
      </c>
      <c r="F219" s="568">
        <f>'2 уровень'!G359</f>
        <v>794.96517999999992</v>
      </c>
      <c r="G219" s="568">
        <f>'2 уровень'!H359</f>
        <v>529.97</v>
      </c>
      <c r="H219" s="568">
        <f>'2 уровень'!I359</f>
        <v>383.36661000000004</v>
      </c>
      <c r="I219" s="568">
        <f>'2 уровень'!J359</f>
        <v>72.337417212295037</v>
      </c>
      <c r="J219" s="103"/>
      <c r="L219" s="727"/>
    </row>
    <row r="220" spans="1:185" ht="30" x14ac:dyDescent="0.25">
      <c r="A220" s="116" t="s">
        <v>79</v>
      </c>
      <c r="B220" s="251">
        <f>'2 уровень'!C360</f>
        <v>278</v>
      </c>
      <c r="C220" s="251">
        <f>'2 уровень'!D360</f>
        <v>185</v>
      </c>
      <c r="D220" s="49">
        <f>'2 уровень'!E360</f>
        <v>200</v>
      </c>
      <c r="E220" s="252">
        <f>'2 уровень'!F360</f>
        <v>108.10810810810811</v>
      </c>
      <c r="F220" s="195">
        <f>'2 уровень'!G360</f>
        <v>422.80919999999998</v>
      </c>
      <c r="G220" s="195">
        <f>'2 уровень'!H360</f>
        <v>281.87</v>
      </c>
      <c r="H220" s="65">
        <f>'2 уровень'!I360</f>
        <v>302.78426000000002</v>
      </c>
      <c r="I220" s="195">
        <f>'2 уровень'!J360</f>
        <v>107.4198247419023</v>
      </c>
      <c r="J220" s="103"/>
      <c r="L220" s="727"/>
    </row>
    <row r="221" spans="1:185" ht="30" x14ac:dyDescent="0.25">
      <c r="A221" s="116" t="s">
        <v>80</v>
      </c>
      <c r="B221" s="251">
        <f>'2 уровень'!C361</f>
        <v>83</v>
      </c>
      <c r="C221" s="251">
        <f>'2 уровень'!D361</f>
        <v>55</v>
      </c>
      <c r="D221" s="49">
        <f>'2 уровень'!E361</f>
        <v>1</v>
      </c>
      <c r="E221" s="252">
        <f>'2 уровень'!F361</f>
        <v>1.8181818181818181</v>
      </c>
      <c r="F221" s="195">
        <f>'2 уровень'!G361</f>
        <v>116.23486</v>
      </c>
      <c r="G221" s="195">
        <f>'2 уровень'!H361</f>
        <v>77.489999999999995</v>
      </c>
      <c r="H221" s="65">
        <f>'2 уровень'!I361</f>
        <v>-11.286770000000001</v>
      </c>
      <c r="I221" s="195">
        <f>'2 уровень'!J361</f>
        <v>-14.565453606917023</v>
      </c>
      <c r="J221" s="103"/>
      <c r="L221" s="727"/>
    </row>
    <row r="222" spans="1:185" ht="45" x14ac:dyDescent="0.25">
      <c r="A222" s="116" t="s">
        <v>110</v>
      </c>
      <c r="B222" s="251">
        <f>'2 уровень'!C362</f>
        <v>0</v>
      </c>
      <c r="C222" s="251">
        <f>'2 уровень'!D362</f>
        <v>0</v>
      </c>
      <c r="D222" s="49">
        <f>'2 уровень'!E362</f>
        <v>0</v>
      </c>
      <c r="E222" s="252">
        <f>'2 уровень'!F362</f>
        <v>0</v>
      </c>
      <c r="F222" s="195">
        <f>'2 уровень'!G362</f>
        <v>0</v>
      </c>
      <c r="G222" s="195">
        <f>'2 уровень'!H362</f>
        <v>0</v>
      </c>
      <c r="H222" s="65">
        <f>'2 уровень'!I362</f>
        <v>0</v>
      </c>
      <c r="I222" s="195">
        <f>'2 уровень'!J362</f>
        <v>0</v>
      </c>
      <c r="J222" s="103"/>
      <c r="L222" s="727"/>
    </row>
    <row r="223" spans="1:185" ht="30" x14ac:dyDescent="0.25">
      <c r="A223" s="116" t="s">
        <v>111</v>
      </c>
      <c r="B223" s="251">
        <f>'2 уровень'!C363</f>
        <v>39</v>
      </c>
      <c r="C223" s="251">
        <f>'2 уровень'!D363</f>
        <v>26</v>
      </c>
      <c r="D223" s="49">
        <f>'2 уровень'!E363</f>
        <v>14</v>
      </c>
      <c r="E223" s="252">
        <f>'2 уровень'!F363</f>
        <v>53.846153846153847</v>
      </c>
      <c r="F223" s="195">
        <f>'2 уровень'!G363</f>
        <v>255.92112</v>
      </c>
      <c r="G223" s="195">
        <f>'2 уровень'!H363</f>
        <v>170.61</v>
      </c>
      <c r="H223" s="65">
        <f>'2 уровень'!I363</f>
        <v>91.869119999999995</v>
      </c>
      <c r="I223" s="195">
        <f>'2 уровень'!J363</f>
        <v>0</v>
      </c>
      <c r="J223" s="103"/>
      <c r="L223" s="727"/>
    </row>
    <row r="224" spans="1:185" ht="30" x14ac:dyDescent="0.25">
      <c r="A224" s="542" t="s">
        <v>112</v>
      </c>
      <c r="B224" s="539">
        <f>'2 уровень'!C364</f>
        <v>723</v>
      </c>
      <c r="C224" s="539">
        <f>'2 уровень'!D364</f>
        <v>481</v>
      </c>
      <c r="D224" s="539">
        <f>'2 уровень'!E364</f>
        <v>288</v>
      </c>
      <c r="E224" s="540">
        <f>'2 уровень'!F364</f>
        <v>59.875259875259879</v>
      </c>
      <c r="F224" s="568">
        <f>'2 уровень'!G364</f>
        <v>1484.9919300000001</v>
      </c>
      <c r="G224" s="568">
        <f>'2 уровень'!H364</f>
        <v>989.9899999999999</v>
      </c>
      <c r="H224" s="568">
        <f>'2 уровень'!I364</f>
        <v>747.00786000000016</v>
      </c>
      <c r="I224" s="568">
        <f>'2 уровень'!J364</f>
        <v>75.456101576783624</v>
      </c>
      <c r="J224" s="103"/>
      <c r="L224" s="727"/>
    </row>
    <row r="225" spans="1:185" ht="30" x14ac:dyDescent="0.25">
      <c r="A225" s="116" t="s">
        <v>108</v>
      </c>
      <c r="B225" s="251">
        <f>'2 уровень'!C365</f>
        <v>20</v>
      </c>
      <c r="C225" s="251">
        <f>'2 уровень'!D365</f>
        <v>13</v>
      </c>
      <c r="D225" s="49">
        <f>'2 уровень'!E365</f>
        <v>0</v>
      </c>
      <c r="E225" s="252">
        <f>'2 уровень'!F365</f>
        <v>0</v>
      </c>
      <c r="F225" s="195">
        <f>'2 уровень'!G365</f>
        <v>42.410199999999996</v>
      </c>
      <c r="G225" s="195">
        <f>'2 уровень'!H365</f>
        <v>28.27</v>
      </c>
      <c r="H225" s="65">
        <f>'2 уровень'!I365</f>
        <v>0</v>
      </c>
      <c r="I225" s="195">
        <f>'2 уровень'!J365</f>
        <v>0</v>
      </c>
      <c r="J225" s="103"/>
      <c r="L225" s="727"/>
    </row>
    <row r="226" spans="1:185" ht="60" x14ac:dyDescent="0.25">
      <c r="A226" s="116" t="s">
        <v>81</v>
      </c>
      <c r="B226" s="251">
        <f>'2 уровень'!C366</f>
        <v>425</v>
      </c>
      <c r="C226" s="251">
        <f>'2 уровень'!D366</f>
        <v>283</v>
      </c>
      <c r="D226" s="49">
        <f>'2 уровень'!E366</f>
        <v>258</v>
      </c>
      <c r="E226" s="252">
        <f>'2 уровень'!F366</f>
        <v>91.166077738515909</v>
      </c>
      <c r="F226" s="195">
        <f>'2 уровень'!G366</f>
        <v>1170.09725</v>
      </c>
      <c r="G226" s="195">
        <f>'2 уровень'!H366</f>
        <v>780.06</v>
      </c>
      <c r="H226" s="65">
        <f>'2 уровень'!I366</f>
        <v>710.22150000000011</v>
      </c>
      <c r="I226" s="195">
        <f>'2 уровень'!J366</f>
        <v>91.047034843473597</v>
      </c>
      <c r="J226" s="103"/>
      <c r="L226" s="727"/>
    </row>
    <row r="227" spans="1:185" ht="45" x14ac:dyDescent="0.25">
      <c r="A227" s="116" t="s">
        <v>109</v>
      </c>
      <c r="B227" s="251">
        <f>'2 уровень'!C367</f>
        <v>278</v>
      </c>
      <c r="C227" s="251">
        <f>'2 уровень'!D367</f>
        <v>185</v>
      </c>
      <c r="D227" s="49">
        <f>'2 уровень'!E367</f>
        <v>30</v>
      </c>
      <c r="E227" s="252">
        <f>'2 уровень'!F367</f>
        <v>16.216216216216218</v>
      </c>
      <c r="F227" s="195">
        <f>'2 уровень'!G367</f>
        <v>272.48447999999996</v>
      </c>
      <c r="G227" s="195">
        <f>'2 уровень'!H367</f>
        <v>181.66</v>
      </c>
      <c r="H227" s="65">
        <f>'2 уровень'!I367</f>
        <v>36.786360000000002</v>
      </c>
      <c r="I227" s="195">
        <f>'2 уровень'!J367</f>
        <v>20.250115600572499</v>
      </c>
      <c r="J227" s="103"/>
      <c r="L227" s="727"/>
    </row>
    <row r="228" spans="1:185" ht="30" x14ac:dyDescent="0.25">
      <c r="A228" s="116" t="s">
        <v>123</v>
      </c>
      <c r="B228" s="251">
        <f>'2 уровень'!C368</f>
        <v>990</v>
      </c>
      <c r="C228" s="251">
        <f>'2 уровень'!D368</f>
        <v>660</v>
      </c>
      <c r="D228" s="49">
        <f>'2 уровень'!E368</f>
        <v>580</v>
      </c>
      <c r="E228" s="252">
        <f>'2 уровень'!F368</f>
        <v>87.878787878787875</v>
      </c>
      <c r="F228" s="195">
        <f>'2 уровень'!G368</f>
        <v>963.48779999999999</v>
      </c>
      <c r="G228" s="195">
        <f>'2 уровень'!H368</f>
        <v>642.33000000000004</v>
      </c>
      <c r="H228" s="65">
        <f>'2 уровень'!I368</f>
        <v>562.84942000000001</v>
      </c>
      <c r="I228" s="195">
        <f>'2 уровень'!J368</f>
        <v>87.626207712546517</v>
      </c>
      <c r="J228" s="103"/>
      <c r="K228" s="103"/>
      <c r="L228" s="103"/>
    </row>
    <row r="229" spans="1:185" ht="15.75" thickBot="1" x14ac:dyDescent="0.3">
      <c r="A229" s="112" t="s">
        <v>4</v>
      </c>
      <c r="B229" s="251">
        <f>'2 уровень'!C369</f>
        <v>0</v>
      </c>
      <c r="C229" s="251">
        <f>'2 уровень'!D369</f>
        <v>0</v>
      </c>
      <c r="D229" s="49">
        <f>'2 уровень'!E369</f>
        <v>0</v>
      </c>
      <c r="E229" s="252">
        <f>'2 уровень'!F369</f>
        <v>0</v>
      </c>
      <c r="F229" s="195">
        <f>'2 уровень'!G369</f>
        <v>3243.4449100000002</v>
      </c>
      <c r="G229" s="195">
        <f>'2 уровень'!H369</f>
        <v>2162.29</v>
      </c>
      <c r="H229" s="65">
        <f>'2 уровень'!I369</f>
        <v>1693.2238900000002</v>
      </c>
      <c r="I229" s="195">
        <f>'2 уровень'!J369</f>
        <v>78.306975012602393</v>
      </c>
      <c r="J229" s="103"/>
      <c r="L229" s="727"/>
    </row>
    <row r="230" spans="1:185" s="54" customFormat="1" ht="15" customHeight="1" x14ac:dyDescent="0.25">
      <c r="A230" s="100" t="s">
        <v>31</v>
      </c>
      <c r="B230" s="101"/>
      <c r="C230" s="101"/>
      <c r="D230" s="101"/>
      <c r="E230" s="185"/>
      <c r="F230" s="102"/>
      <c r="G230" s="102"/>
      <c r="H230" s="102"/>
      <c r="I230" s="102"/>
      <c r="J230" s="103"/>
      <c r="K230" s="726"/>
      <c r="L230" s="727"/>
      <c r="M230" s="45"/>
      <c r="N230" s="45"/>
      <c r="O230" s="45"/>
      <c r="P230" s="45"/>
      <c r="Q230" s="45"/>
      <c r="R230" s="45"/>
      <c r="S230" s="45"/>
      <c r="T230" s="45"/>
      <c r="U230" s="45"/>
      <c r="V230" s="45"/>
      <c r="W230" s="45"/>
      <c r="X230" s="45"/>
      <c r="Y230" s="45"/>
      <c r="Z230" s="45"/>
      <c r="AA230" s="45"/>
      <c r="AB230" s="45"/>
      <c r="AC230" s="45"/>
      <c r="AD230" s="45"/>
      <c r="AE230" s="45"/>
      <c r="AF230" s="45"/>
      <c r="AG230" s="45"/>
      <c r="AH230" s="45"/>
      <c r="AI230" s="45"/>
      <c r="AJ230" s="45"/>
      <c r="AK230" s="45"/>
      <c r="AL230" s="45"/>
      <c r="AM230" s="45"/>
      <c r="AN230" s="45"/>
      <c r="AO230" s="45"/>
      <c r="AP230" s="45"/>
      <c r="AQ230" s="45"/>
      <c r="AR230" s="45"/>
      <c r="AS230" s="45"/>
      <c r="AT230" s="45"/>
      <c r="AU230" s="45"/>
      <c r="AV230" s="45"/>
      <c r="AW230" s="45"/>
      <c r="AX230" s="45"/>
      <c r="AY230" s="45"/>
      <c r="AZ230" s="45"/>
      <c r="BA230" s="45"/>
      <c r="BB230" s="45"/>
      <c r="BC230" s="45"/>
      <c r="BD230" s="45"/>
      <c r="BE230" s="45"/>
      <c r="BF230" s="45"/>
      <c r="BG230" s="45"/>
      <c r="BH230" s="45"/>
      <c r="BI230" s="45"/>
      <c r="BJ230" s="45"/>
      <c r="BK230" s="45"/>
      <c r="BL230" s="45"/>
      <c r="BM230" s="45"/>
      <c r="BN230" s="45"/>
      <c r="BO230" s="45"/>
      <c r="BP230" s="45"/>
      <c r="BQ230" s="45"/>
      <c r="BR230" s="45"/>
      <c r="BS230" s="45"/>
      <c r="BT230" s="45"/>
      <c r="BU230" s="45"/>
      <c r="BV230" s="45"/>
      <c r="BW230" s="45"/>
      <c r="BX230" s="45"/>
      <c r="BY230" s="45"/>
      <c r="BZ230" s="45"/>
      <c r="CA230" s="45"/>
      <c r="CB230" s="45"/>
      <c r="CC230" s="45"/>
      <c r="CD230" s="45"/>
      <c r="CE230" s="45"/>
      <c r="CF230" s="45"/>
      <c r="CG230" s="45"/>
      <c r="CH230" s="45"/>
      <c r="CI230" s="45"/>
      <c r="CJ230" s="45"/>
      <c r="CK230" s="45"/>
      <c r="CL230" s="45"/>
      <c r="CM230" s="45"/>
      <c r="CN230" s="45"/>
      <c r="CO230" s="45"/>
      <c r="CP230" s="45"/>
      <c r="CQ230" s="45"/>
      <c r="CR230" s="45"/>
      <c r="CS230" s="45"/>
      <c r="CT230" s="45"/>
      <c r="CU230" s="45"/>
      <c r="CV230" s="45"/>
      <c r="CW230" s="45"/>
      <c r="CX230" s="45"/>
      <c r="CY230" s="45"/>
      <c r="CZ230" s="45"/>
      <c r="DA230" s="45"/>
      <c r="DB230" s="45"/>
      <c r="DC230" s="45"/>
      <c r="DD230" s="45"/>
      <c r="DE230" s="45"/>
      <c r="DF230" s="45"/>
      <c r="DG230" s="45"/>
      <c r="DH230" s="45"/>
      <c r="DI230" s="45"/>
      <c r="DJ230" s="45"/>
      <c r="DK230" s="45"/>
      <c r="DL230" s="45"/>
      <c r="DM230" s="45"/>
      <c r="DN230" s="45"/>
      <c r="DO230" s="45"/>
      <c r="DP230" s="45"/>
      <c r="DQ230" s="45"/>
      <c r="DR230" s="45"/>
      <c r="DS230" s="45"/>
      <c r="DT230" s="45"/>
      <c r="DU230" s="45"/>
      <c r="DV230" s="45"/>
      <c r="DW230" s="45"/>
      <c r="DX230" s="45"/>
      <c r="DY230" s="45"/>
      <c r="DZ230" s="45"/>
      <c r="EA230" s="45"/>
      <c r="EB230" s="45"/>
      <c r="EC230" s="45"/>
      <c r="ED230" s="45"/>
      <c r="EE230" s="45"/>
      <c r="EF230" s="45"/>
      <c r="EG230" s="45"/>
      <c r="EH230" s="45"/>
      <c r="EI230" s="45"/>
      <c r="EJ230" s="45"/>
      <c r="EK230" s="45"/>
      <c r="EL230" s="45"/>
      <c r="EM230" s="45"/>
      <c r="EN230" s="45"/>
      <c r="EO230" s="45"/>
      <c r="EP230" s="45"/>
      <c r="EQ230" s="45"/>
      <c r="ER230" s="45"/>
      <c r="ES230" s="45"/>
      <c r="ET230" s="45"/>
      <c r="EU230" s="45"/>
      <c r="EV230" s="45"/>
      <c r="EW230" s="45"/>
      <c r="EX230" s="45"/>
      <c r="EY230" s="45"/>
      <c r="EZ230" s="45"/>
      <c r="FA230" s="45"/>
      <c r="FB230" s="45"/>
      <c r="FC230" s="45"/>
      <c r="FD230" s="45"/>
      <c r="FE230" s="45"/>
      <c r="FF230" s="45"/>
      <c r="FG230" s="45"/>
      <c r="FH230" s="45"/>
      <c r="FI230" s="45"/>
      <c r="FJ230" s="45"/>
      <c r="FK230" s="45"/>
      <c r="FL230" s="45"/>
      <c r="FM230" s="45"/>
      <c r="FN230" s="45"/>
      <c r="FO230" s="45"/>
      <c r="FP230" s="45"/>
      <c r="FQ230" s="45"/>
      <c r="FR230" s="45"/>
      <c r="FS230" s="45"/>
      <c r="FT230" s="45"/>
      <c r="FU230" s="45"/>
      <c r="FV230" s="45"/>
      <c r="FW230" s="45"/>
      <c r="FX230" s="45"/>
      <c r="FY230" s="45"/>
      <c r="FZ230" s="45"/>
      <c r="GA230" s="45"/>
      <c r="GB230" s="45"/>
      <c r="GC230" s="45"/>
    </row>
    <row r="231" spans="1:185" ht="30" x14ac:dyDescent="0.25">
      <c r="A231" s="542" t="s">
        <v>120</v>
      </c>
      <c r="B231" s="539">
        <f>'1 уровень'!C389</f>
        <v>13677</v>
      </c>
      <c r="C231" s="539">
        <f>'1 уровень'!D389</f>
        <v>9118</v>
      </c>
      <c r="D231" s="539">
        <f>'1 уровень'!E389</f>
        <v>10418</v>
      </c>
      <c r="E231" s="540">
        <f>'1 уровень'!F389</f>
        <v>114.25751261241501</v>
      </c>
      <c r="F231" s="568">
        <f>'1 уровень'!G389</f>
        <v>19498.545219999996</v>
      </c>
      <c r="G231" s="568">
        <f>'1 уровень'!H389</f>
        <v>12999.03</v>
      </c>
      <c r="H231" s="568">
        <f>'1 уровень'!I389</f>
        <v>14930.274800000001</v>
      </c>
      <c r="I231" s="568">
        <f>'1 уровень'!J389</f>
        <v>114.85683777943431</v>
      </c>
      <c r="J231" s="103"/>
      <c r="L231" s="727"/>
    </row>
    <row r="232" spans="1:185" ht="30" x14ac:dyDescent="0.25">
      <c r="A232" s="116" t="s">
        <v>79</v>
      </c>
      <c r="B232" s="49">
        <f>'1 уровень'!C390</f>
        <v>10401</v>
      </c>
      <c r="C232" s="49">
        <f>'1 уровень'!D390</f>
        <v>6934</v>
      </c>
      <c r="D232" s="49">
        <f>'1 уровень'!E390</f>
        <v>7886</v>
      </c>
      <c r="E232" s="180">
        <f>'1 уровень'!F390</f>
        <v>113.72944909143352</v>
      </c>
      <c r="F232" s="65">
        <f>'1 уровень'!G390</f>
        <v>13875.1158</v>
      </c>
      <c r="G232" s="65">
        <f>'1 уровень'!H390</f>
        <v>9250.08</v>
      </c>
      <c r="H232" s="65">
        <f>'1 уровень'!I390</f>
        <v>10485.540920000003</v>
      </c>
      <c r="I232" s="65">
        <f>'1 уровень'!J390</f>
        <v>113.35621875702699</v>
      </c>
      <c r="J232" s="103"/>
      <c r="L232" s="727"/>
    </row>
    <row r="233" spans="1:185" ht="30" x14ac:dyDescent="0.25">
      <c r="A233" s="116" t="s">
        <v>80</v>
      </c>
      <c r="B233" s="49">
        <f>'1 уровень'!C391</f>
        <v>3120</v>
      </c>
      <c r="C233" s="49">
        <f>'1 уровень'!D391</f>
        <v>2080</v>
      </c>
      <c r="D233" s="49">
        <f>'1 уровень'!E391</f>
        <v>2362</v>
      </c>
      <c r="E233" s="180">
        <f>'1 уровень'!F391</f>
        <v>113.55769230769231</v>
      </c>
      <c r="F233" s="65">
        <f>'1 уровень'!G391</f>
        <v>4770.3590200000008</v>
      </c>
      <c r="G233" s="65">
        <f>'1 уровень'!H391</f>
        <v>3180.2400000000002</v>
      </c>
      <c r="H233" s="65">
        <f>'1 уровень'!I391</f>
        <v>3547.3694400000004</v>
      </c>
      <c r="I233" s="65">
        <f>'1 уровень'!J391</f>
        <v>111.54407969209872</v>
      </c>
      <c r="J233" s="103"/>
      <c r="L233" s="727"/>
    </row>
    <row r="234" spans="1:185" ht="45" x14ac:dyDescent="0.25">
      <c r="A234" s="116" t="s">
        <v>110</v>
      </c>
      <c r="B234" s="49">
        <f>'1 уровень'!C392</f>
        <v>60</v>
      </c>
      <c r="C234" s="49">
        <f>'1 уровень'!D392</f>
        <v>40</v>
      </c>
      <c r="D234" s="49">
        <f>'1 уровень'!E392</f>
        <v>70</v>
      </c>
      <c r="E234" s="180">
        <f>'1 уровень'!F392</f>
        <v>175</v>
      </c>
      <c r="F234" s="65">
        <f>'1 уровень'!G392</f>
        <v>328.10399999999998</v>
      </c>
      <c r="G234" s="65">
        <f>'1 уровень'!H392</f>
        <v>218.74</v>
      </c>
      <c r="H234" s="65">
        <f>'1 уровень'!I392</f>
        <v>371.85120000000001</v>
      </c>
      <c r="I234" s="65">
        <f>'1 уровень'!J392</f>
        <v>169.9968912864588</v>
      </c>
      <c r="J234" s="103"/>
      <c r="L234" s="727"/>
    </row>
    <row r="235" spans="1:185" ht="30" x14ac:dyDescent="0.25">
      <c r="A235" s="116" t="s">
        <v>111</v>
      </c>
      <c r="B235" s="49">
        <f>'1 уровень'!C393</f>
        <v>96</v>
      </c>
      <c r="C235" s="49">
        <f>'1 уровень'!D393</f>
        <v>64</v>
      </c>
      <c r="D235" s="49">
        <f>'1 уровень'!E393</f>
        <v>100</v>
      </c>
      <c r="E235" s="180">
        <f>'1 уровень'!F393</f>
        <v>156.25</v>
      </c>
      <c r="F235" s="65">
        <f>'1 уровень'!G393</f>
        <v>524.96640000000002</v>
      </c>
      <c r="G235" s="65">
        <f>'1 уровень'!H393</f>
        <v>349.97</v>
      </c>
      <c r="H235" s="65">
        <f>'1 уровень'!I393</f>
        <v>525.51324</v>
      </c>
      <c r="I235" s="65">
        <f>'1 уровень'!J393</f>
        <v>150.15951081521274</v>
      </c>
      <c r="J235" s="103"/>
      <c r="L235" s="727"/>
    </row>
    <row r="236" spans="1:185" ht="30" x14ac:dyDescent="0.25">
      <c r="A236" s="542" t="s">
        <v>112</v>
      </c>
      <c r="B236" s="539">
        <f>'1 уровень'!C394</f>
        <v>25466</v>
      </c>
      <c r="C236" s="539">
        <f>'1 уровень'!D394</f>
        <v>16978</v>
      </c>
      <c r="D236" s="539">
        <f>'1 уровень'!E394</f>
        <v>15117</v>
      </c>
      <c r="E236" s="540">
        <f>'1 уровень'!F394</f>
        <v>89.038756037224644</v>
      </c>
      <c r="F236" s="568">
        <f>'1 уровень'!G394</f>
        <v>42622.933799999999</v>
      </c>
      <c r="G236" s="568">
        <f>'1 уровень'!H394</f>
        <v>28415.289999999997</v>
      </c>
      <c r="H236" s="568">
        <f>'1 уровень'!I394</f>
        <v>25888.214100000005</v>
      </c>
      <c r="I236" s="568">
        <f>'1 уровень'!J394</f>
        <v>91.106633435731283</v>
      </c>
      <c r="J236" s="103"/>
      <c r="L236" s="727"/>
    </row>
    <row r="237" spans="1:185" ht="30" x14ac:dyDescent="0.25">
      <c r="A237" s="116" t="s">
        <v>108</v>
      </c>
      <c r="B237" s="49">
        <f>'1 уровень'!C395</f>
        <v>550</v>
      </c>
      <c r="C237" s="49">
        <f>'1 уровень'!D395</f>
        <v>367</v>
      </c>
      <c r="D237" s="49">
        <f>'1 уровень'!E395</f>
        <v>390</v>
      </c>
      <c r="E237" s="180">
        <f>'1 уровень'!F395</f>
        <v>106.26702997275204</v>
      </c>
      <c r="F237" s="65">
        <f>'1 уровень'!G395</f>
        <v>971.90499999999997</v>
      </c>
      <c r="G237" s="65">
        <f>'1 уровень'!H395</f>
        <v>647.94000000000005</v>
      </c>
      <c r="H237" s="65">
        <f>'1 уровень'!I395</f>
        <v>679.51468</v>
      </c>
      <c r="I237" s="65">
        <f>'1 уровень'!J395</f>
        <v>104.87308701422971</v>
      </c>
      <c r="J237" s="103"/>
      <c r="L237" s="727"/>
    </row>
    <row r="238" spans="1:185" ht="60" x14ac:dyDescent="0.25">
      <c r="A238" s="116" t="s">
        <v>81</v>
      </c>
      <c r="B238" s="49">
        <f>'1 уровень'!C396</f>
        <v>14416</v>
      </c>
      <c r="C238" s="49">
        <f>'1 уровень'!D396</f>
        <v>9611</v>
      </c>
      <c r="D238" s="49">
        <f>'1 уровень'!E396</f>
        <v>9859</v>
      </c>
      <c r="E238" s="180">
        <f>'1 уровень'!F396</f>
        <v>102.5803766517532</v>
      </c>
      <c r="F238" s="65">
        <f>'1 уровень'!G396</f>
        <v>33074.628799999999</v>
      </c>
      <c r="G238" s="65">
        <f>'1 уровень'!H396</f>
        <v>22049.75</v>
      </c>
      <c r="H238" s="65">
        <f>'1 уровень'!I396</f>
        <v>21051.687640000004</v>
      </c>
      <c r="I238" s="65">
        <f>'1 уровень'!J396</f>
        <v>95.473588770847755</v>
      </c>
      <c r="J238" s="103"/>
      <c r="L238" s="727"/>
    </row>
    <row r="239" spans="1:185" ht="45" x14ac:dyDescent="0.25">
      <c r="A239" s="116" t="s">
        <v>109</v>
      </c>
      <c r="B239" s="49">
        <f>'1 уровень'!C397</f>
        <v>10500</v>
      </c>
      <c r="C239" s="49">
        <f>'1 уровень'!D397</f>
        <v>7000</v>
      </c>
      <c r="D239" s="49">
        <f>'1 уровень'!E397</f>
        <v>4868</v>
      </c>
      <c r="E239" s="180">
        <f>'1 уровень'!F397</f>
        <v>69.542857142857144</v>
      </c>
      <c r="F239" s="65">
        <f>'1 уровень'!G397</f>
        <v>8576.4</v>
      </c>
      <c r="G239" s="65">
        <f>'1 уровень'!H397</f>
        <v>5717.5999999999995</v>
      </c>
      <c r="H239" s="65">
        <f>'1 уровень'!I397</f>
        <v>4157.0117799999998</v>
      </c>
      <c r="I239" s="65">
        <f>'1 уровень'!J397</f>
        <v>72.705536938575634</v>
      </c>
      <c r="J239" s="103"/>
      <c r="L239" s="727"/>
    </row>
    <row r="240" spans="1:185" ht="30" x14ac:dyDescent="0.25">
      <c r="A240" s="285" t="s">
        <v>123</v>
      </c>
      <c r="B240" s="49">
        <f>'1 уровень'!C398</f>
        <v>39663</v>
      </c>
      <c r="C240" s="49">
        <f>'1 уровень'!D398</f>
        <v>26442</v>
      </c>
      <c r="D240" s="49">
        <f>'1 уровень'!E398</f>
        <v>26246</v>
      </c>
      <c r="E240" s="180">
        <f>'1 уровень'!F398</f>
        <v>99.258755010967405</v>
      </c>
      <c r="F240" s="65">
        <f>'1 уровень'!G398</f>
        <v>32167.486260000001</v>
      </c>
      <c r="G240" s="65">
        <f>'1 уровень'!H398</f>
        <v>21444.989999999998</v>
      </c>
      <c r="H240" s="65">
        <f>'1 уровень'!I398</f>
        <v>21213.913119999997</v>
      </c>
      <c r="I240" s="65">
        <f>'1 уровень'!J398</f>
        <v>98.922466832579531</v>
      </c>
      <c r="J240" s="103"/>
      <c r="K240" s="103"/>
      <c r="L240" s="103"/>
    </row>
    <row r="241" spans="1:185" ht="15.75" thickBot="1" x14ac:dyDescent="0.3">
      <c r="A241" s="584" t="s">
        <v>105</v>
      </c>
      <c r="B241" s="544">
        <f>'1 уровень'!C399</f>
        <v>0</v>
      </c>
      <c r="C241" s="544">
        <f>'1 уровень'!D399</f>
        <v>0</v>
      </c>
      <c r="D241" s="544">
        <f>'1 уровень'!E399</f>
        <v>0</v>
      </c>
      <c r="E241" s="545">
        <f>'1 уровень'!F399</f>
        <v>0</v>
      </c>
      <c r="F241" s="585">
        <f>'1 уровень'!G399</f>
        <v>94288.965280000004</v>
      </c>
      <c r="G241" s="585">
        <f>'1 уровень'!H399</f>
        <v>62859.30999999999</v>
      </c>
      <c r="H241" s="585">
        <f>'1 уровень'!I399</f>
        <v>52016.653780000008</v>
      </c>
      <c r="I241" s="585">
        <f>'1 уровень'!J399</f>
        <v>82.750914351430225</v>
      </c>
      <c r="J241" s="103"/>
      <c r="L241" s="727"/>
    </row>
    <row r="242" spans="1:185" s="45" customFormat="1" ht="15" customHeight="1" x14ac:dyDescent="0.25">
      <c r="A242" s="586" t="s">
        <v>32</v>
      </c>
      <c r="B242" s="587"/>
      <c r="C242" s="587"/>
      <c r="D242" s="587"/>
      <c r="E242" s="588"/>
      <c r="F242" s="589"/>
      <c r="G242" s="589"/>
      <c r="H242" s="589"/>
      <c r="I242" s="589"/>
      <c r="J242" s="103"/>
      <c r="K242" s="726"/>
      <c r="L242" s="727"/>
      <c r="M242" s="44"/>
      <c r="N242" s="44"/>
      <c r="O242" s="44"/>
      <c r="P242" s="44"/>
      <c r="Q242" s="44"/>
      <c r="R242" s="44"/>
      <c r="S242" s="44"/>
      <c r="T242" s="44"/>
      <c r="U242" s="44"/>
      <c r="V242" s="44"/>
      <c r="W242" s="44"/>
      <c r="X242" s="44"/>
      <c r="Y242" s="44"/>
      <c r="Z242" s="44"/>
      <c r="AA242" s="44"/>
      <c r="AB242" s="44"/>
      <c r="AC242" s="44"/>
      <c r="AD242" s="44"/>
      <c r="AE242" s="44"/>
      <c r="AF242" s="44"/>
      <c r="AG242" s="44"/>
      <c r="AH242" s="44"/>
      <c r="AI242" s="44"/>
      <c r="AJ242" s="44"/>
      <c r="AK242" s="44"/>
      <c r="AL242" s="44"/>
      <c r="AM242" s="44"/>
      <c r="AN242" s="44"/>
      <c r="AO242" s="44"/>
      <c r="AP242" s="44"/>
      <c r="AQ242" s="44"/>
      <c r="AR242" s="44"/>
      <c r="AS242" s="44"/>
      <c r="AT242" s="44"/>
      <c r="AU242" s="44"/>
      <c r="AV242" s="44"/>
      <c r="AW242" s="44"/>
      <c r="AX242" s="44"/>
      <c r="AY242" s="44"/>
      <c r="AZ242" s="44"/>
      <c r="BA242" s="44"/>
      <c r="BB242" s="44"/>
      <c r="BC242" s="44"/>
      <c r="BD242" s="44"/>
      <c r="BE242" s="44"/>
      <c r="BF242" s="44"/>
      <c r="BG242" s="44"/>
      <c r="BH242" s="44"/>
      <c r="BI242" s="44"/>
      <c r="BJ242" s="44"/>
      <c r="BK242" s="44"/>
      <c r="BL242" s="44"/>
      <c r="BM242" s="44"/>
      <c r="BN242" s="44"/>
      <c r="BO242" s="44"/>
      <c r="BP242" s="44"/>
      <c r="BQ242" s="44"/>
      <c r="BR242" s="44"/>
      <c r="BS242" s="44"/>
      <c r="BT242" s="44"/>
      <c r="BU242" s="44"/>
      <c r="BV242" s="44"/>
      <c r="BW242" s="44"/>
      <c r="BX242" s="44"/>
      <c r="BY242" s="44"/>
      <c r="BZ242" s="44"/>
      <c r="CA242" s="44"/>
      <c r="CB242" s="44"/>
      <c r="CC242" s="44"/>
      <c r="CD242" s="44"/>
      <c r="CE242" s="44"/>
      <c r="CF242" s="44"/>
      <c r="CG242" s="44"/>
      <c r="CH242" s="44"/>
      <c r="CI242" s="44"/>
      <c r="CJ242" s="44"/>
      <c r="CK242" s="44"/>
      <c r="CL242" s="44"/>
      <c r="CM242" s="44"/>
      <c r="CN242" s="44"/>
      <c r="CO242" s="44"/>
      <c r="CP242" s="44"/>
      <c r="CQ242" s="44"/>
      <c r="CR242" s="44"/>
      <c r="CS242" s="44"/>
      <c r="CT242" s="44"/>
      <c r="CU242" s="44"/>
      <c r="CV242" s="44"/>
      <c r="CW242" s="44"/>
      <c r="CX242" s="44"/>
      <c r="CY242" s="44"/>
      <c r="CZ242" s="44"/>
      <c r="DA242" s="44"/>
      <c r="DB242" s="44"/>
      <c r="DC242" s="44"/>
      <c r="DD242" s="44"/>
      <c r="DE242" s="44"/>
      <c r="DF242" s="44"/>
      <c r="DG242" s="44"/>
      <c r="DH242" s="44"/>
      <c r="DI242" s="44"/>
      <c r="DJ242" s="44"/>
      <c r="DK242" s="44"/>
      <c r="DL242" s="44"/>
      <c r="DM242" s="44"/>
      <c r="DN242" s="44"/>
      <c r="DO242" s="44"/>
      <c r="DP242" s="44"/>
      <c r="DQ242" s="44"/>
      <c r="DR242" s="44"/>
      <c r="DS242" s="44"/>
      <c r="DT242" s="44"/>
      <c r="DU242" s="44"/>
      <c r="DV242" s="44"/>
      <c r="DW242" s="44"/>
      <c r="DX242" s="44"/>
      <c r="DY242" s="44"/>
      <c r="DZ242" s="44"/>
      <c r="EA242" s="44"/>
      <c r="EB242" s="44"/>
      <c r="EC242" s="44"/>
      <c r="ED242" s="44"/>
      <c r="EE242" s="44"/>
      <c r="EF242" s="44"/>
      <c r="EG242" s="44"/>
      <c r="EH242" s="44"/>
      <c r="EI242" s="44"/>
      <c r="EJ242" s="44"/>
      <c r="EK242" s="44"/>
      <c r="EL242" s="44"/>
      <c r="EM242" s="44"/>
      <c r="EN242" s="44"/>
      <c r="EO242" s="44"/>
      <c r="EP242" s="44"/>
      <c r="EQ242" s="44"/>
      <c r="ER242" s="44"/>
      <c r="ES242" s="44"/>
      <c r="ET242" s="44"/>
      <c r="EU242" s="44"/>
      <c r="EV242" s="44"/>
      <c r="EW242" s="44"/>
      <c r="EX242" s="44"/>
      <c r="EY242" s="44"/>
      <c r="EZ242" s="44"/>
      <c r="FA242" s="44"/>
      <c r="FB242" s="44"/>
      <c r="FC242" s="44"/>
      <c r="FD242" s="44"/>
      <c r="FE242" s="44"/>
      <c r="FF242" s="44"/>
      <c r="FG242" s="44"/>
      <c r="FH242" s="44"/>
      <c r="FI242" s="44"/>
      <c r="FJ242" s="44"/>
      <c r="FK242" s="44"/>
      <c r="FL242" s="44"/>
      <c r="FM242" s="44"/>
      <c r="FN242" s="44"/>
      <c r="FO242" s="44"/>
      <c r="FP242" s="44"/>
      <c r="FQ242" s="44"/>
      <c r="FR242" s="44"/>
      <c r="FS242" s="44"/>
      <c r="FT242" s="44"/>
      <c r="FU242" s="44"/>
      <c r="FV242" s="44"/>
      <c r="FW242" s="44"/>
      <c r="FX242" s="44"/>
      <c r="FY242" s="44"/>
      <c r="FZ242" s="44"/>
      <c r="GA242" s="44"/>
      <c r="GB242" s="44"/>
      <c r="GC242" s="44"/>
    </row>
    <row r="243" spans="1:185" ht="30" x14ac:dyDescent="0.25">
      <c r="A243" s="197" t="s">
        <v>120</v>
      </c>
      <c r="B243" s="69">
        <f>'1 уровень'!C20</f>
        <v>1533</v>
      </c>
      <c r="C243" s="69">
        <f>'1 уровень'!D20</f>
        <v>1022</v>
      </c>
      <c r="D243" s="69">
        <f>'1 уровень'!E20</f>
        <v>629</v>
      </c>
      <c r="E243" s="69">
        <f>'1 уровень'!F20</f>
        <v>61.545988258317031</v>
      </c>
      <c r="F243" s="69">
        <f>'1 уровень'!G20</f>
        <v>2329.9957899999999</v>
      </c>
      <c r="G243" s="69">
        <f>'1 уровень'!H20</f>
        <v>1553.33</v>
      </c>
      <c r="H243" s="695">
        <f>'1 уровень'!I20</f>
        <v>810.90400000000011</v>
      </c>
      <c r="I243" s="65">
        <f>'1 уровень'!J20</f>
        <v>52.204232197923183</v>
      </c>
      <c r="J243" s="103"/>
      <c r="L243" s="727"/>
      <c r="M243" s="45"/>
      <c r="N243" s="45"/>
      <c r="O243" s="45"/>
      <c r="P243" s="45"/>
      <c r="Q243" s="45"/>
      <c r="R243" s="45"/>
      <c r="S243" s="45"/>
      <c r="T243" s="45"/>
      <c r="U243" s="45"/>
      <c r="V243" s="45"/>
      <c r="W243" s="45"/>
      <c r="X243" s="45"/>
      <c r="Y243" s="45"/>
      <c r="Z243" s="45"/>
      <c r="AA243" s="45"/>
      <c r="AB243" s="45"/>
      <c r="AC243" s="45"/>
      <c r="AD243" s="45"/>
      <c r="AE243" s="45"/>
      <c r="AF243" s="45"/>
      <c r="AG243" s="45"/>
      <c r="AH243" s="45"/>
      <c r="AI243" s="45"/>
      <c r="AJ243" s="45"/>
      <c r="AK243" s="45"/>
      <c r="AL243" s="45"/>
      <c r="AM243" s="45"/>
      <c r="AN243" s="45"/>
      <c r="AO243" s="45"/>
      <c r="AP243" s="45"/>
      <c r="AQ243" s="45"/>
      <c r="AR243" s="45"/>
      <c r="AS243" s="45"/>
      <c r="AT243" s="45"/>
      <c r="AU243" s="45"/>
      <c r="AV243" s="45"/>
      <c r="AW243" s="45"/>
      <c r="AX243" s="45"/>
      <c r="AY243" s="45"/>
      <c r="AZ243" s="45"/>
      <c r="BA243" s="45"/>
      <c r="BB243" s="45"/>
      <c r="BC243" s="45"/>
      <c r="BD243" s="45"/>
      <c r="BE243" s="45"/>
      <c r="BF243" s="45"/>
      <c r="BG243" s="45"/>
      <c r="BH243" s="45"/>
      <c r="BI243" s="45"/>
      <c r="BJ243" s="45"/>
      <c r="BK243" s="45"/>
      <c r="BL243" s="45"/>
      <c r="BM243" s="45"/>
      <c r="BN243" s="45"/>
      <c r="BO243" s="45"/>
      <c r="BP243" s="45"/>
      <c r="BQ243" s="45"/>
      <c r="BR243" s="45"/>
      <c r="BS243" s="45"/>
      <c r="BT243" s="45"/>
      <c r="BU243" s="45"/>
      <c r="BV243" s="45"/>
      <c r="BW243" s="45"/>
      <c r="BX243" s="45"/>
      <c r="BY243" s="45"/>
      <c r="BZ243" s="45"/>
      <c r="CA243" s="45"/>
      <c r="CB243" s="45"/>
      <c r="CC243" s="45"/>
      <c r="CD243" s="45"/>
      <c r="CE243" s="45"/>
      <c r="CF243" s="45"/>
      <c r="CG243" s="45"/>
      <c r="CH243" s="45"/>
      <c r="CI243" s="45"/>
      <c r="CJ243" s="45"/>
      <c r="CK243" s="45"/>
      <c r="CL243" s="45"/>
      <c r="CM243" s="45"/>
      <c r="CN243" s="45"/>
      <c r="CO243" s="45"/>
      <c r="CP243" s="45"/>
      <c r="CQ243" s="45"/>
      <c r="CR243" s="45"/>
      <c r="CS243" s="45"/>
      <c r="CT243" s="45"/>
      <c r="CU243" s="45"/>
      <c r="CV243" s="45"/>
      <c r="CW243" s="45"/>
      <c r="CX243" s="45"/>
      <c r="CY243" s="45"/>
      <c r="CZ243" s="45"/>
      <c r="DA243" s="45"/>
      <c r="DB243" s="45"/>
      <c r="DC243" s="45"/>
      <c r="DD243" s="45"/>
      <c r="DE243" s="45"/>
      <c r="DF243" s="45"/>
      <c r="DG243" s="45"/>
      <c r="DH243" s="45"/>
      <c r="DI243" s="45"/>
      <c r="DJ243" s="45"/>
      <c r="DK243" s="45"/>
      <c r="DL243" s="45"/>
      <c r="DM243" s="45"/>
      <c r="DN243" s="45"/>
      <c r="DO243" s="45"/>
      <c r="DP243" s="45"/>
      <c r="DQ243" s="45"/>
      <c r="DR243" s="45"/>
      <c r="DS243" s="45"/>
      <c r="DT243" s="45"/>
      <c r="DU243" s="45"/>
      <c r="DV243" s="45"/>
      <c r="DW243" s="45"/>
      <c r="DX243" s="45"/>
      <c r="DY243" s="45"/>
      <c r="DZ243" s="45"/>
      <c r="EA243" s="45"/>
      <c r="EB243" s="45"/>
      <c r="EC243" s="45"/>
      <c r="ED243" s="45"/>
      <c r="EE243" s="45"/>
      <c r="EF243" s="45"/>
      <c r="EG243" s="45"/>
      <c r="EH243" s="45"/>
      <c r="EI243" s="45"/>
      <c r="EJ243" s="45"/>
      <c r="EK243" s="45"/>
      <c r="EL243" s="45"/>
      <c r="EM243" s="45"/>
      <c r="EN243" s="45"/>
      <c r="EO243" s="45"/>
      <c r="EP243" s="45"/>
      <c r="EQ243" s="45"/>
      <c r="ER243" s="45"/>
      <c r="ES243" s="45"/>
      <c r="ET243" s="45"/>
      <c r="EU243" s="45"/>
      <c r="EV243" s="45"/>
      <c r="EW243" s="45"/>
      <c r="EX243" s="45"/>
      <c r="EY243" s="45"/>
      <c r="EZ243" s="45"/>
      <c r="FA243" s="45"/>
      <c r="FB243" s="45"/>
      <c r="FC243" s="45"/>
      <c r="FD243" s="45"/>
      <c r="FE243" s="45"/>
      <c r="FF243" s="45"/>
      <c r="FG243" s="45"/>
      <c r="FH243" s="45"/>
      <c r="FI243" s="45"/>
      <c r="FJ243" s="45"/>
      <c r="FK243" s="45"/>
      <c r="FL243" s="45"/>
      <c r="FM243" s="45"/>
      <c r="FN243" s="45"/>
      <c r="FO243" s="45"/>
      <c r="FP243" s="45"/>
      <c r="FQ243" s="45"/>
      <c r="FR243" s="45"/>
      <c r="FS243" s="45"/>
      <c r="FT243" s="45"/>
      <c r="FU243" s="45"/>
      <c r="FV243" s="45"/>
      <c r="FW243" s="45"/>
      <c r="FX243" s="45"/>
      <c r="FY243" s="45"/>
      <c r="FZ243" s="45"/>
      <c r="GA243" s="45"/>
      <c r="GB243" s="45"/>
      <c r="GC243" s="45"/>
    </row>
    <row r="244" spans="1:185" ht="30" x14ac:dyDescent="0.25">
      <c r="A244" s="202" t="s">
        <v>79</v>
      </c>
      <c r="B244" s="69">
        <f>'1 уровень'!C21</f>
        <v>1179</v>
      </c>
      <c r="C244" s="69">
        <f>'1 уровень'!D21</f>
        <v>786</v>
      </c>
      <c r="D244" s="69">
        <f>'1 уровень'!E21</f>
        <v>513</v>
      </c>
      <c r="E244" s="69">
        <f>'1 уровень'!F21</f>
        <v>65.267175572519093</v>
      </c>
      <c r="F244" s="69">
        <f>'1 уровень'!G21</f>
        <v>1750.6734000000001</v>
      </c>
      <c r="G244" s="69">
        <f>'1 уровень'!H21</f>
        <v>1167.1199999999999</v>
      </c>
      <c r="H244" s="695">
        <f>'1 уровень'!I21</f>
        <v>613.21582000000012</v>
      </c>
      <c r="I244" s="65">
        <f>'1 уровень'!J21</f>
        <v>52.54094009185004</v>
      </c>
      <c r="J244" s="103"/>
      <c r="L244" s="727"/>
      <c r="M244" s="45"/>
      <c r="N244" s="45"/>
      <c r="O244" s="45"/>
      <c r="P244" s="45"/>
      <c r="Q244" s="45"/>
      <c r="R244" s="45"/>
      <c r="S244" s="45"/>
      <c r="T244" s="45"/>
      <c r="U244" s="45"/>
      <c r="V244" s="45"/>
      <c r="W244" s="45"/>
      <c r="X244" s="45"/>
      <c r="Y244" s="45"/>
      <c r="Z244" s="45"/>
      <c r="AA244" s="45"/>
      <c r="AB244" s="45"/>
      <c r="AC244" s="45"/>
      <c r="AD244" s="45"/>
      <c r="AE244" s="45"/>
      <c r="AF244" s="45"/>
      <c r="AG244" s="45"/>
      <c r="AH244" s="45"/>
      <c r="AI244" s="45"/>
      <c r="AJ244" s="45"/>
      <c r="AK244" s="45"/>
      <c r="AL244" s="45"/>
      <c r="AM244" s="45"/>
      <c r="AN244" s="45"/>
      <c r="AO244" s="45"/>
      <c r="AP244" s="45"/>
      <c r="AQ244" s="45"/>
      <c r="AR244" s="45"/>
      <c r="AS244" s="45"/>
      <c r="AT244" s="45"/>
      <c r="AU244" s="45"/>
      <c r="AV244" s="45"/>
      <c r="AW244" s="45"/>
      <c r="AX244" s="45"/>
      <c r="AY244" s="45"/>
      <c r="AZ244" s="45"/>
      <c r="BA244" s="45"/>
      <c r="BB244" s="45"/>
      <c r="BC244" s="45"/>
      <c r="BD244" s="45"/>
      <c r="BE244" s="45"/>
      <c r="BF244" s="45"/>
      <c r="BG244" s="45"/>
      <c r="BH244" s="45"/>
      <c r="BI244" s="45"/>
      <c r="BJ244" s="45"/>
      <c r="BK244" s="45"/>
      <c r="BL244" s="45"/>
      <c r="BM244" s="45"/>
      <c r="BN244" s="45"/>
      <c r="BO244" s="45"/>
      <c r="BP244" s="45"/>
      <c r="BQ244" s="45"/>
      <c r="BR244" s="45"/>
      <c r="BS244" s="45"/>
      <c r="BT244" s="45"/>
      <c r="BU244" s="45"/>
      <c r="BV244" s="45"/>
      <c r="BW244" s="45"/>
      <c r="BX244" s="45"/>
      <c r="BY244" s="45"/>
      <c r="BZ244" s="45"/>
      <c r="CA244" s="45"/>
      <c r="CB244" s="45"/>
      <c r="CC244" s="45"/>
      <c r="CD244" s="45"/>
      <c r="CE244" s="45"/>
      <c r="CF244" s="45"/>
      <c r="CG244" s="45"/>
      <c r="CH244" s="45"/>
      <c r="CI244" s="45"/>
      <c r="CJ244" s="45"/>
      <c r="CK244" s="45"/>
      <c r="CL244" s="45"/>
      <c r="CM244" s="45"/>
      <c r="CN244" s="45"/>
      <c r="CO244" s="45"/>
      <c r="CP244" s="45"/>
      <c r="CQ244" s="45"/>
      <c r="CR244" s="45"/>
      <c r="CS244" s="45"/>
      <c r="CT244" s="45"/>
      <c r="CU244" s="45"/>
      <c r="CV244" s="45"/>
      <c r="CW244" s="45"/>
      <c r="CX244" s="45"/>
      <c r="CY244" s="45"/>
      <c r="CZ244" s="45"/>
      <c r="DA244" s="45"/>
      <c r="DB244" s="45"/>
      <c r="DC244" s="45"/>
      <c r="DD244" s="45"/>
      <c r="DE244" s="45"/>
      <c r="DF244" s="45"/>
      <c r="DG244" s="45"/>
      <c r="DH244" s="45"/>
      <c r="DI244" s="45"/>
      <c r="DJ244" s="45"/>
      <c r="DK244" s="45"/>
      <c r="DL244" s="45"/>
      <c r="DM244" s="45"/>
      <c r="DN244" s="45"/>
      <c r="DO244" s="45"/>
      <c r="DP244" s="45"/>
      <c r="DQ244" s="45"/>
      <c r="DR244" s="45"/>
      <c r="DS244" s="45"/>
      <c r="DT244" s="45"/>
      <c r="DU244" s="45"/>
      <c r="DV244" s="45"/>
      <c r="DW244" s="45"/>
      <c r="DX244" s="45"/>
      <c r="DY244" s="45"/>
      <c r="DZ244" s="45"/>
      <c r="EA244" s="45"/>
      <c r="EB244" s="45"/>
      <c r="EC244" s="45"/>
      <c r="ED244" s="45"/>
      <c r="EE244" s="45"/>
      <c r="EF244" s="45"/>
      <c r="EG244" s="45"/>
      <c r="EH244" s="45"/>
      <c r="EI244" s="45"/>
      <c r="EJ244" s="45"/>
      <c r="EK244" s="45"/>
      <c r="EL244" s="45"/>
      <c r="EM244" s="45"/>
      <c r="EN244" s="45"/>
      <c r="EO244" s="45"/>
      <c r="EP244" s="45"/>
      <c r="EQ244" s="45"/>
      <c r="ER244" s="45"/>
      <c r="ES244" s="45"/>
      <c r="ET244" s="45"/>
      <c r="EU244" s="45"/>
      <c r="EV244" s="45"/>
      <c r="EW244" s="45"/>
      <c r="EX244" s="45"/>
      <c r="EY244" s="45"/>
      <c r="EZ244" s="45"/>
      <c r="FA244" s="45"/>
      <c r="FB244" s="45"/>
      <c r="FC244" s="45"/>
      <c r="FD244" s="45"/>
      <c r="FE244" s="45"/>
      <c r="FF244" s="45"/>
      <c r="FG244" s="45"/>
      <c r="FH244" s="45"/>
      <c r="FI244" s="45"/>
      <c r="FJ244" s="45"/>
      <c r="FK244" s="45"/>
      <c r="FL244" s="45"/>
      <c r="FM244" s="45"/>
      <c r="FN244" s="45"/>
      <c r="FO244" s="45"/>
      <c r="FP244" s="45"/>
      <c r="FQ244" s="45"/>
      <c r="FR244" s="45"/>
      <c r="FS244" s="45"/>
      <c r="FT244" s="45"/>
      <c r="FU244" s="45"/>
      <c r="FV244" s="45"/>
      <c r="FW244" s="45"/>
      <c r="FX244" s="45"/>
      <c r="FY244" s="45"/>
      <c r="FZ244" s="45"/>
      <c r="GA244" s="45"/>
      <c r="GB244" s="45"/>
      <c r="GC244" s="45"/>
    </row>
    <row r="245" spans="1:185" ht="30" x14ac:dyDescent="0.25">
      <c r="A245" s="202" t="s">
        <v>80</v>
      </c>
      <c r="B245" s="69">
        <f>'1 уровень'!C22</f>
        <v>354</v>
      </c>
      <c r="C245" s="69">
        <f>'1 уровень'!D22</f>
        <v>236</v>
      </c>
      <c r="D245" s="69">
        <f>'1 уровень'!E22</f>
        <v>116</v>
      </c>
      <c r="E245" s="69">
        <f>'1 уровень'!F22</f>
        <v>49.152542372881356</v>
      </c>
      <c r="F245" s="69">
        <f>'1 уровень'!G22</f>
        <v>579.32239000000004</v>
      </c>
      <c r="G245" s="69">
        <f>'1 уровень'!H22</f>
        <v>386.21</v>
      </c>
      <c r="H245" s="65">
        <f>'1 уровень'!I22</f>
        <v>197.68817999999999</v>
      </c>
      <c r="I245" s="65">
        <f>'1 уровень'!J22</f>
        <v>51.1867067139639</v>
      </c>
      <c r="J245" s="103"/>
      <c r="L245" s="727"/>
      <c r="M245" s="45"/>
      <c r="N245" s="45"/>
      <c r="O245" s="45"/>
      <c r="P245" s="45"/>
      <c r="Q245" s="45"/>
      <c r="R245" s="45"/>
      <c r="S245" s="45"/>
      <c r="T245" s="45"/>
      <c r="U245" s="45"/>
      <c r="V245" s="45"/>
      <c r="W245" s="45"/>
      <c r="X245" s="45"/>
      <c r="Y245" s="45"/>
      <c r="Z245" s="45"/>
      <c r="AA245" s="45"/>
      <c r="AB245" s="45"/>
      <c r="AC245" s="45"/>
      <c r="AD245" s="45"/>
      <c r="AE245" s="45"/>
      <c r="AF245" s="45"/>
      <c r="AG245" s="45"/>
      <c r="AH245" s="45"/>
      <c r="AI245" s="45"/>
      <c r="AJ245" s="45"/>
      <c r="AK245" s="45"/>
      <c r="AL245" s="45"/>
      <c r="AM245" s="45"/>
      <c r="AN245" s="45"/>
      <c r="AO245" s="45"/>
      <c r="AP245" s="45"/>
      <c r="AQ245" s="45"/>
      <c r="AR245" s="45"/>
      <c r="AS245" s="45"/>
      <c r="AT245" s="45"/>
      <c r="AU245" s="45"/>
      <c r="AV245" s="45"/>
      <c r="AW245" s="45"/>
      <c r="AX245" s="45"/>
      <c r="AY245" s="45"/>
      <c r="AZ245" s="45"/>
      <c r="BA245" s="45"/>
      <c r="BB245" s="45"/>
      <c r="BC245" s="45"/>
      <c r="BD245" s="45"/>
      <c r="BE245" s="45"/>
      <c r="BF245" s="45"/>
      <c r="BG245" s="45"/>
      <c r="BH245" s="45"/>
      <c r="BI245" s="45"/>
      <c r="BJ245" s="45"/>
      <c r="BK245" s="45"/>
      <c r="BL245" s="45"/>
      <c r="BM245" s="45"/>
      <c r="BN245" s="45"/>
      <c r="BO245" s="45"/>
      <c r="BP245" s="45"/>
      <c r="BQ245" s="45"/>
      <c r="BR245" s="45"/>
      <c r="BS245" s="45"/>
      <c r="BT245" s="45"/>
      <c r="BU245" s="45"/>
      <c r="BV245" s="45"/>
      <c r="BW245" s="45"/>
      <c r="BX245" s="45"/>
      <c r="BY245" s="45"/>
      <c r="BZ245" s="45"/>
      <c r="CA245" s="45"/>
      <c r="CB245" s="45"/>
      <c r="CC245" s="45"/>
      <c r="CD245" s="45"/>
      <c r="CE245" s="45"/>
      <c r="CF245" s="45"/>
      <c r="CG245" s="45"/>
      <c r="CH245" s="45"/>
      <c r="CI245" s="45"/>
      <c r="CJ245" s="45"/>
      <c r="CK245" s="45"/>
      <c r="CL245" s="45"/>
      <c r="CM245" s="45"/>
      <c r="CN245" s="45"/>
      <c r="CO245" s="45"/>
      <c r="CP245" s="45"/>
      <c r="CQ245" s="45"/>
      <c r="CR245" s="45"/>
      <c r="CS245" s="45"/>
      <c r="CT245" s="45"/>
      <c r="CU245" s="45"/>
      <c r="CV245" s="45"/>
      <c r="CW245" s="45"/>
      <c r="CX245" s="45"/>
      <c r="CY245" s="45"/>
      <c r="CZ245" s="45"/>
      <c r="DA245" s="45"/>
      <c r="DB245" s="45"/>
      <c r="DC245" s="45"/>
      <c r="DD245" s="45"/>
      <c r="DE245" s="45"/>
      <c r="DF245" s="45"/>
      <c r="DG245" s="45"/>
      <c r="DH245" s="45"/>
      <c r="DI245" s="45"/>
      <c r="DJ245" s="45"/>
      <c r="DK245" s="45"/>
      <c r="DL245" s="45"/>
      <c r="DM245" s="45"/>
      <c r="DN245" s="45"/>
      <c r="DO245" s="45"/>
      <c r="DP245" s="45"/>
      <c r="DQ245" s="45"/>
      <c r="DR245" s="45"/>
      <c r="DS245" s="45"/>
      <c r="DT245" s="45"/>
      <c r="DU245" s="45"/>
      <c r="DV245" s="45"/>
      <c r="DW245" s="45"/>
      <c r="DX245" s="45"/>
      <c r="DY245" s="45"/>
      <c r="DZ245" s="45"/>
      <c r="EA245" s="45"/>
      <c r="EB245" s="45"/>
      <c r="EC245" s="45"/>
      <c r="ED245" s="45"/>
      <c r="EE245" s="45"/>
      <c r="EF245" s="45"/>
      <c r="EG245" s="45"/>
      <c r="EH245" s="45"/>
      <c r="EI245" s="45"/>
      <c r="EJ245" s="45"/>
      <c r="EK245" s="45"/>
      <c r="EL245" s="45"/>
      <c r="EM245" s="45"/>
      <c r="EN245" s="45"/>
      <c r="EO245" s="45"/>
      <c r="EP245" s="45"/>
      <c r="EQ245" s="45"/>
      <c r="ER245" s="45"/>
      <c r="ES245" s="45"/>
      <c r="ET245" s="45"/>
      <c r="EU245" s="45"/>
      <c r="EV245" s="45"/>
      <c r="EW245" s="45"/>
      <c r="EX245" s="45"/>
      <c r="EY245" s="45"/>
      <c r="EZ245" s="45"/>
      <c r="FA245" s="45"/>
      <c r="FB245" s="45"/>
      <c r="FC245" s="45"/>
      <c r="FD245" s="45"/>
      <c r="FE245" s="45"/>
      <c r="FF245" s="45"/>
      <c r="FG245" s="45"/>
      <c r="FH245" s="45"/>
      <c r="FI245" s="45"/>
      <c r="FJ245" s="45"/>
      <c r="FK245" s="45"/>
      <c r="FL245" s="45"/>
      <c r="FM245" s="45"/>
      <c r="FN245" s="45"/>
      <c r="FO245" s="45"/>
      <c r="FP245" s="45"/>
      <c r="FQ245" s="45"/>
      <c r="FR245" s="45"/>
      <c r="FS245" s="45"/>
      <c r="FT245" s="45"/>
      <c r="FU245" s="45"/>
      <c r="FV245" s="45"/>
      <c r="FW245" s="45"/>
      <c r="FX245" s="45"/>
      <c r="FY245" s="45"/>
      <c r="FZ245" s="45"/>
      <c r="GA245" s="45"/>
      <c r="GB245" s="45"/>
      <c r="GC245" s="45"/>
    </row>
    <row r="246" spans="1:185" ht="30" x14ac:dyDescent="0.25">
      <c r="A246" s="317" t="s">
        <v>112</v>
      </c>
      <c r="B246" s="69">
        <f>'1 уровень'!C23</f>
        <v>0</v>
      </c>
      <c r="C246" s="69">
        <f>'1 уровень'!D23</f>
        <v>0</v>
      </c>
      <c r="D246" s="69">
        <f>'1 уровень'!E23</f>
        <v>0</v>
      </c>
      <c r="E246" s="69">
        <f>'1 уровень'!F23</f>
        <v>0</v>
      </c>
      <c r="F246" s="69">
        <f>'1 уровень'!G23</f>
        <v>0</v>
      </c>
      <c r="G246" s="69">
        <f>'1 уровень'!H23</f>
        <v>0</v>
      </c>
      <c r="H246" s="65">
        <f>'1 уровень'!I23</f>
        <v>0</v>
      </c>
      <c r="I246" s="65">
        <f>'1 уровень'!J23</f>
        <v>0</v>
      </c>
      <c r="J246" s="103"/>
      <c r="L246" s="727"/>
      <c r="M246" s="45"/>
      <c r="N246" s="45"/>
      <c r="O246" s="45"/>
      <c r="P246" s="45"/>
      <c r="Q246" s="45"/>
      <c r="R246" s="45"/>
      <c r="S246" s="45"/>
      <c r="T246" s="45"/>
      <c r="U246" s="45"/>
      <c r="V246" s="45"/>
      <c r="W246" s="45"/>
      <c r="X246" s="45"/>
      <c r="Y246" s="45"/>
      <c r="Z246" s="45"/>
      <c r="AA246" s="45"/>
      <c r="AB246" s="45"/>
      <c r="AC246" s="45"/>
      <c r="AD246" s="45"/>
      <c r="AE246" s="45"/>
      <c r="AF246" s="45"/>
      <c r="AG246" s="45"/>
      <c r="AH246" s="45"/>
      <c r="AI246" s="45"/>
      <c r="AJ246" s="45"/>
      <c r="AK246" s="45"/>
      <c r="AL246" s="45"/>
      <c r="AM246" s="45"/>
      <c r="AN246" s="45"/>
      <c r="AO246" s="45"/>
      <c r="AP246" s="45"/>
      <c r="AQ246" s="45"/>
      <c r="AR246" s="45"/>
      <c r="AS246" s="45"/>
      <c r="AT246" s="45"/>
      <c r="AU246" s="45"/>
      <c r="AV246" s="45"/>
      <c r="AW246" s="45"/>
      <c r="AX246" s="45"/>
      <c r="AY246" s="45"/>
      <c r="AZ246" s="45"/>
      <c r="BA246" s="45"/>
      <c r="BB246" s="45"/>
      <c r="BC246" s="45"/>
      <c r="BD246" s="45"/>
      <c r="BE246" s="45"/>
      <c r="BF246" s="45"/>
      <c r="BG246" s="45"/>
      <c r="BH246" s="45"/>
      <c r="BI246" s="45"/>
      <c r="BJ246" s="45"/>
      <c r="BK246" s="45"/>
      <c r="BL246" s="45"/>
      <c r="BM246" s="45"/>
      <c r="BN246" s="45"/>
      <c r="BO246" s="45"/>
      <c r="BP246" s="45"/>
      <c r="BQ246" s="45"/>
      <c r="BR246" s="45"/>
      <c r="BS246" s="45"/>
      <c r="BT246" s="45"/>
      <c r="BU246" s="45"/>
      <c r="BV246" s="45"/>
      <c r="BW246" s="45"/>
      <c r="BX246" s="45"/>
      <c r="BY246" s="45"/>
      <c r="BZ246" s="45"/>
      <c r="CA246" s="45"/>
      <c r="CB246" s="45"/>
      <c r="CC246" s="45"/>
      <c r="CD246" s="45"/>
      <c r="CE246" s="45"/>
      <c r="CF246" s="45"/>
      <c r="CG246" s="45"/>
      <c r="CH246" s="45"/>
      <c r="CI246" s="45"/>
      <c r="CJ246" s="45"/>
      <c r="CK246" s="45"/>
      <c r="CL246" s="45"/>
      <c r="CM246" s="45"/>
      <c r="CN246" s="45"/>
      <c r="CO246" s="45"/>
      <c r="CP246" s="45"/>
      <c r="CQ246" s="45"/>
      <c r="CR246" s="45"/>
      <c r="CS246" s="45"/>
      <c r="CT246" s="45"/>
      <c r="CU246" s="45"/>
      <c r="CV246" s="45"/>
      <c r="CW246" s="45"/>
      <c r="CX246" s="45"/>
      <c r="CY246" s="45"/>
      <c r="CZ246" s="45"/>
      <c r="DA246" s="45"/>
      <c r="DB246" s="45"/>
      <c r="DC246" s="45"/>
      <c r="DD246" s="45"/>
      <c r="DE246" s="45"/>
      <c r="DF246" s="45"/>
      <c r="DG246" s="45"/>
      <c r="DH246" s="45"/>
      <c r="DI246" s="45"/>
      <c r="DJ246" s="45"/>
      <c r="DK246" s="45"/>
      <c r="DL246" s="45"/>
      <c r="DM246" s="45"/>
      <c r="DN246" s="45"/>
      <c r="DO246" s="45"/>
      <c r="DP246" s="45"/>
      <c r="DQ246" s="45"/>
      <c r="DR246" s="45"/>
      <c r="DS246" s="45"/>
      <c r="DT246" s="45"/>
      <c r="DU246" s="45"/>
      <c r="DV246" s="45"/>
      <c r="DW246" s="45"/>
      <c r="DX246" s="45"/>
      <c r="DY246" s="45"/>
      <c r="DZ246" s="45"/>
      <c r="EA246" s="45"/>
      <c r="EB246" s="45"/>
      <c r="EC246" s="45"/>
      <c r="ED246" s="45"/>
      <c r="EE246" s="45"/>
      <c r="EF246" s="45"/>
      <c r="EG246" s="45"/>
      <c r="EH246" s="45"/>
      <c r="EI246" s="45"/>
      <c r="EJ246" s="45"/>
      <c r="EK246" s="45"/>
      <c r="EL246" s="45"/>
      <c r="EM246" s="45"/>
      <c r="EN246" s="45"/>
      <c r="EO246" s="45"/>
      <c r="EP246" s="45"/>
      <c r="EQ246" s="45"/>
      <c r="ER246" s="45"/>
      <c r="ES246" s="45"/>
      <c r="ET246" s="45"/>
      <c r="EU246" s="45"/>
      <c r="EV246" s="45"/>
      <c r="EW246" s="45"/>
      <c r="EX246" s="45"/>
      <c r="EY246" s="45"/>
      <c r="EZ246" s="45"/>
      <c r="FA246" s="45"/>
      <c r="FB246" s="45"/>
      <c r="FC246" s="45"/>
      <c r="FD246" s="45"/>
      <c r="FE246" s="45"/>
      <c r="FF246" s="45"/>
      <c r="FG246" s="45"/>
      <c r="FH246" s="45"/>
      <c r="FI246" s="45"/>
      <c r="FJ246" s="45"/>
      <c r="FK246" s="45"/>
      <c r="FL246" s="45"/>
      <c r="FM246" s="45"/>
      <c r="FN246" s="45"/>
      <c r="FO246" s="45"/>
      <c r="FP246" s="45"/>
      <c r="FQ246" s="45"/>
      <c r="FR246" s="45"/>
      <c r="FS246" s="45"/>
      <c r="FT246" s="45"/>
      <c r="FU246" s="45"/>
      <c r="FV246" s="45"/>
      <c r="FW246" s="45"/>
      <c r="FX246" s="45"/>
      <c r="FY246" s="45"/>
      <c r="FZ246" s="45"/>
      <c r="GA246" s="45"/>
      <c r="GB246" s="45"/>
      <c r="GC246" s="45"/>
    </row>
    <row r="247" spans="1:185" ht="30" x14ac:dyDescent="0.25">
      <c r="A247" s="316" t="s">
        <v>108</v>
      </c>
      <c r="B247" s="69">
        <f>'1 уровень'!C24</f>
        <v>0</v>
      </c>
      <c r="C247" s="69">
        <f>'1 уровень'!D24</f>
        <v>0</v>
      </c>
      <c r="D247" s="69">
        <f>'1 уровень'!E24</f>
        <v>0</v>
      </c>
      <c r="E247" s="69">
        <f>'1 уровень'!F24</f>
        <v>0</v>
      </c>
      <c r="F247" s="69">
        <f>'1 уровень'!G24</f>
        <v>0</v>
      </c>
      <c r="G247" s="69">
        <f>'1 уровень'!H24</f>
        <v>0</v>
      </c>
      <c r="H247" s="65">
        <f>'1 уровень'!I24</f>
        <v>0</v>
      </c>
      <c r="I247" s="65">
        <f>'1 уровень'!J24</f>
        <v>0</v>
      </c>
      <c r="J247" s="103"/>
      <c r="L247" s="727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  <c r="BU247" s="45"/>
      <c r="BV247" s="45"/>
      <c r="BW247" s="45"/>
      <c r="BX247" s="45"/>
      <c r="BY247" s="45"/>
      <c r="BZ247" s="45"/>
      <c r="CA247" s="45"/>
      <c r="CB247" s="45"/>
      <c r="CC247" s="45"/>
      <c r="CD247" s="45"/>
      <c r="CE247" s="45"/>
      <c r="CF247" s="45"/>
      <c r="CG247" s="45"/>
      <c r="CH247" s="45"/>
      <c r="CI247" s="45"/>
      <c r="CJ247" s="45"/>
      <c r="CK247" s="45"/>
      <c r="CL247" s="45"/>
      <c r="CM247" s="45"/>
      <c r="CN247" s="45"/>
      <c r="CO247" s="45"/>
      <c r="CP247" s="45"/>
      <c r="CQ247" s="45"/>
      <c r="CR247" s="45"/>
      <c r="CS247" s="45"/>
      <c r="CT247" s="45"/>
      <c r="CU247" s="45"/>
      <c r="CV247" s="45"/>
      <c r="CW247" s="45"/>
      <c r="CX247" s="45"/>
      <c r="CY247" s="45"/>
      <c r="CZ247" s="45"/>
      <c r="DA247" s="45"/>
      <c r="DB247" s="45"/>
      <c r="DC247" s="45"/>
      <c r="DD247" s="45"/>
      <c r="DE247" s="45"/>
      <c r="DF247" s="45"/>
      <c r="DG247" s="45"/>
      <c r="DH247" s="45"/>
      <c r="DI247" s="45"/>
      <c r="DJ247" s="45"/>
      <c r="DK247" s="45"/>
      <c r="DL247" s="45"/>
      <c r="DM247" s="45"/>
      <c r="DN247" s="45"/>
      <c r="DO247" s="45"/>
      <c r="DP247" s="45"/>
      <c r="DQ247" s="45"/>
      <c r="DR247" s="45"/>
      <c r="DS247" s="45"/>
      <c r="DT247" s="45"/>
      <c r="DU247" s="45"/>
      <c r="DV247" s="45"/>
      <c r="DW247" s="45"/>
      <c r="DX247" s="45"/>
      <c r="DY247" s="45"/>
      <c r="DZ247" s="45"/>
      <c r="EA247" s="45"/>
      <c r="EB247" s="45"/>
      <c r="EC247" s="45"/>
      <c r="ED247" s="45"/>
      <c r="EE247" s="45"/>
      <c r="EF247" s="45"/>
      <c r="EG247" s="45"/>
      <c r="EH247" s="45"/>
      <c r="EI247" s="45"/>
      <c r="EJ247" s="45"/>
      <c r="EK247" s="45"/>
      <c r="EL247" s="45"/>
      <c r="EM247" s="45"/>
      <c r="EN247" s="45"/>
      <c r="EO247" s="45"/>
      <c r="EP247" s="45"/>
      <c r="EQ247" s="45"/>
      <c r="ER247" s="45"/>
      <c r="ES247" s="45"/>
      <c r="ET247" s="45"/>
      <c r="EU247" s="45"/>
      <c r="EV247" s="45"/>
      <c r="EW247" s="45"/>
      <c r="EX247" s="45"/>
      <c r="EY247" s="45"/>
      <c r="EZ247" s="45"/>
      <c r="FA247" s="45"/>
      <c r="FB247" s="45"/>
      <c r="FC247" s="45"/>
      <c r="FD247" s="45"/>
      <c r="FE247" s="45"/>
      <c r="FF247" s="45"/>
      <c r="FG247" s="45"/>
      <c r="FH247" s="45"/>
      <c r="FI247" s="45"/>
      <c r="FJ247" s="45"/>
      <c r="FK247" s="45"/>
      <c r="FL247" s="45"/>
      <c r="FM247" s="45"/>
      <c r="FN247" s="45"/>
      <c r="FO247" s="45"/>
      <c r="FP247" s="45"/>
      <c r="FQ247" s="45"/>
      <c r="FR247" s="45"/>
      <c r="FS247" s="45"/>
      <c r="FT247" s="45"/>
      <c r="FU247" s="45"/>
      <c r="FV247" s="45"/>
      <c r="FW247" s="45"/>
      <c r="FX247" s="45"/>
      <c r="FY247" s="45"/>
      <c r="FZ247" s="45"/>
      <c r="GA247" s="45"/>
      <c r="GB247" s="45"/>
      <c r="GC247" s="45"/>
    </row>
    <row r="248" spans="1:185" ht="30" x14ac:dyDescent="0.25">
      <c r="A248" s="316" t="s">
        <v>123</v>
      </c>
      <c r="B248" s="69">
        <f>'1 уровень'!C25</f>
        <v>100</v>
      </c>
      <c r="C248" s="69">
        <f>'1 уровень'!D25</f>
        <v>67</v>
      </c>
      <c r="D248" s="69">
        <f>'1 уровень'!E25</f>
        <v>18</v>
      </c>
      <c r="E248" s="69">
        <f>'1 уровень'!F25</f>
        <v>26.865671641791046</v>
      </c>
      <c r="F248" s="69">
        <f>'1 уровень'!G25</f>
        <v>81.102000000000004</v>
      </c>
      <c r="G248" s="69">
        <f>'1 уровень'!H25</f>
        <v>54.07</v>
      </c>
      <c r="H248" s="65">
        <f>'1 уровень'!I25</f>
        <v>14.517259999999998</v>
      </c>
      <c r="I248" s="65">
        <f>'1 уровень'!J25</f>
        <v>26.849010541890138</v>
      </c>
      <c r="J248" s="103"/>
      <c r="K248" s="103"/>
      <c r="L248" s="103"/>
      <c r="M248" s="45"/>
      <c r="N248" s="45"/>
      <c r="O248" s="45"/>
      <c r="P248" s="45"/>
      <c r="Q248" s="45"/>
      <c r="R248" s="45"/>
      <c r="S248" s="45"/>
      <c r="T248" s="45"/>
      <c r="U248" s="45"/>
      <c r="V248" s="45"/>
      <c r="W248" s="45"/>
      <c r="X248" s="45"/>
      <c r="Y248" s="45"/>
      <c r="Z248" s="45"/>
      <c r="AA248" s="45"/>
      <c r="AB248" s="45"/>
      <c r="AC248" s="45"/>
      <c r="AD248" s="45"/>
      <c r="AE248" s="45"/>
      <c r="AF248" s="45"/>
      <c r="AG248" s="45"/>
      <c r="AH248" s="45"/>
      <c r="AI248" s="45"/>
      <c r="AJ248" s="45"/>
      <c r="AK248" s="45"/>
      <c r="AL248" s="45"/>
      <c r="AM248" s="45"/>
      <c r="AN248" s="45"/>
      <c r="AO248" s="45"/>
      <c r="AP248" s="45"/>
      <c r="AQ248" s="45"/>
      <c r="AR248" s="45"/>
      <c r="AS248" s="45"/>
      <c r="AT248" s="45"/>
      <c r="AU248" s="45"/>
      <c r="AV248" s="45"/>
      <c r="AW248" s="45"/>
      <c r="AX248" s="45"/>
      <c r="AY248" s="45"/>
      <c r="AZ248" s="45"/>
      <c r="BA248" s="45"/>
      <c r="BB248" s="45"/>
      <c r="BC248" s="45"/>
      <c r="BD248" s="45"/>
      <c r="BE248" s="45"/>
      <c r="BF248" s="45"/>
      <c r="BG248" s="45"/>
      <c r="BH248" s="45"/>
      <c r="BI248" s="45"/>
      <c r="BJ248" s="45"/>
      <c r="BK248" s="45"/>
      <c r="BL248" s="45"/>
      <c r="BM248" s="45"/>
      <c r="BN248" s="45"/>
      <c r="BO248" s="45"/>
      <c r="BP248" s="45"/>
      <c r="BQ248" s="45"/>
      <c r="BR248" s="45"/>
      <c r="BS248" s="45"/>
      <c r="BT248" s="45"/>
      <c r="BU248" s="45"/>
      <c r="BV248" s="45"/>
      <c r="BW248" s="45"/>
      <c r="BX248" s="45"/>
      <c r="BY248" s="45"/>
      <c r="BZ248" s="45"/>
      <c r="CA248" s="45"/>
      <c r="CB248" s="45"/>
      <c r="CC248" s="45"/>
      <c r="CD248" s="45"/>
      <c r="CE248" s="45"/>
      <c r="CF248" s="45"/>
      <c r="CG248" s="45"/>
      <c r="CH248" s="45"/>
      <c r="CI248" s="45"/>
      <c r="CJ248" s="45"/>
      <c r="CK248" s="45"/>
      <c r="CL248" s="45"/>
      <c r="CM248" s="45"/>
      <c r="CN248" s="45"/>
      <c r="CO248" s="45"/>
      <c r="CP248" s="45"/>
      <c r="CQ248" s="45"/>
      <c r="CR248" s="45"/>
      <c r="CS248" s="45"/>
      <c r="CT248" s="45"/>
      <c r="CU248" s="45"/>
      <c r="CV248" s="45"/>
      <c r="CW248" s="45"/>
      <c r="CX248" s="45"/>
      <c r="CY248" s="45"/>
      <c r="CZ248" s="45"/>
      <c r="DA248" s="45"/>
      <c r="DB248" s="45"/>
      <c r="DC248" s="45"/>
      <c r="DD248" s="45"/>
      <c r="DE248" s="45"/>
      <c r="DF248" s="45"/>
      <c r="DG248" s="45"/>
      <c r="DH248" s="45"/>
      <c r="DI248" s="45"/>
      <c r="DJ248" s="45"/>
      <c r="DK248" s="45"/>
      <c r="DL248" s="45"/>
      <c r="DM248" s="45"/>
      <c r="DN248" s="45"/>
      <c r="DO248" s="45"/>
      <c r="DP248" s="45"/>
      <c r="DQ248" s="45"/>
      <c r="DR248" s="45"/>
      <c r="DS248" s="45"/>
      <c r="DT248" s="45"/>
      <c r="DU248" s="45"/>
      <c r="DV248" s="45"/>
      <c r="DW248" s="45"/>
      <c r="DX248" s="45"/>
      <c r="DY248" s="45"/>
      <c r="DZ248" s="45"/>
      <c r="EA248" s="45"/>
      <c r="EB248" s="45"/>
      <c r="EC248" s="45"/>
      <c r="ED248" s="45"/>
      <c r="EE248" s="45"/>
      <c r="EF248" s="45"/>
      <c r="EG248" s="45"/>
      <c r="EH248" s="45"/>
      <c r="EI248" s="45"/>
      <c r="EJ248" s="45"/>
      <c r="EK248" s="45"/>
      <c r="EL248" s="45"/>
      <c r="EM248" s="45"/>
      <c r="EN248" s="45"/>
      <c r="EO248" s="45"/>
      <c r="EP248" s="45"/>
      <c r="EQ248" s="45"/>
      <c r="ER248" s="45"/>
      <c r="ES248" s="45"/>
      <c r="ET248" s="45"/>
      <c r="EU248" s="45"/>
      <c r="EV248" s="45"/>
      <c r="EW248" s="45"/>
      <c r="EX248" s="45"/>
      <c r="EY248" s="45"/>
      <c r="EZ248" s="45"/>
      <c r="FA248" s="45"/>
      <c r="FB248" s="45"/>
      <c r="FC248" s="45"/>
      <c r="FD248" s="45"/>
      <c r="FE248" s="45"/>
      <c r="FF248" s="45"/>
      <c r="FG248" s="45"/>
      <c r="FH248" s="45"/>
      <c r="FI248" s="45"/>
      <c r="FJ248" s="45"/>
      <c r="FK248" s="45"/>
      <c r="FL248" s="45"/>
      <c r="FM248" s="45"/>
      <c r="FN248" s="45"/>
      <c r="FO248" s="45"/>
      <c r="FP248" s="45"/>
      <c r="FQ248" s="45"/>
      <c r="FR248" s="45"/>
      <c r="FS248" s="45"/>
      <c r="FT248" s="45"/>
      <c r="FU248" s="45"/>
      <c r="FV248" s="45"/>
      <c r="FW248" s="45"/>
      <c r="FX248" s="45"/>
      <c r="FY248" s="45"/>
      <c r="FZ248" s="45"/>
      <c r="GA248" s="45"/>
      <c r="GB248" s="45"/>
      <c r="GC248" s="45"/>
    </row>
    <row r="249" spans="1:185" s="45" customFormat="1" ht="15.75" thickBot="1" x14ac:dyDescent="0.3">
      <c r="A249" s="590" t="s">
        <v>105</v>
      </c>
      <c r="B249" s="591">
        <f>'1 уровень'!C26</f>
        <v>0</v>
      </c>
      <c r="C249" s="591">
        <f>'1 уровень'!D26</f>
        <v>0</v>
      </c>
      <c r="D249" s="591">
        <f>'1 уровень'!E26</f>
        <v>0</v>
      </c>
      <c r="E249" s="592">
        <f>'1 уровень'!F26</f>
        <v>0</v>
      </c>
      <c r="F249" s="593">
        <f>'1 уровень'!G26</f>
        <v>2411.0977899999998</v>
      </c>
      <c r="G249" s="593">
        <f>'1 уровень'!H26</f>
        <v>1607.3999999999999</v>
      </c>
      <c r="H249" s="593">
        <f>'1 уровень'!I26</f>
        <v>825.42126000000007</v>
      </c>
      <c r="I249" s="593">
        <f>'1 уровень'!J26</f>
        <v>51.351328854050024</v>
      </c>
      <c r="J249" s="103"/>
      <c r="K249" s="726"/>
      <c r="L249" s="727"/>
    </row>
    <row r="250" spans="1:185" s="45" customFormat="1" ht="27.75" customHeight="1" thickBot="1" x14ac:dyDescent="0.3">
      <c r="A250" s="701" t="s">
        <v>33</v>
      </c>
      <c r="B250" s="700"/>
      <c r="C250" s="700"/>
      <c r="D250" s="700"/>
      <c r="E250" s="700"/>
      <c r="F250" s="700">
        <f>SUM(F20,F35,F49,F61,F74,F88,F101,F114,F126,F140,F152,F166,F180,F193,F205,F217,F229,F241,F249)</f>
        <v>1780209.5333600002</v>
      </c>
      <c r="G250" s="700">
        <f>SUM(G20,G35,G49,G61,G74,G88,G101,G114,G126,G140,G152,G166,G180,G193,G205,G217,G229,G241,G249)</f>
        <v>1186806.3399999999</v>
      </c>
      <c r="H250" s="700">
        <f>SUM(H20,H35,H49,H61,H74,H88,H101,H114,H126,H140,H152,H166,H180,H193,H205,H217,H229,H241,H249)</f>
        <v>1118354.65371</v>
      </c>
      <c r="I250" s="720">
        <f t="shared" ref="I250:I259" si="0">H250/G250*100</f>
        <v>94.232278343743943</v>
      </c>
      <c r="J250" s="103"/>
      <c r="K250" s="726"/>
      <c r="L250" s="727"/>
      <c r="M250" s="44"/>
      <c r="N250" s="44"/>
      <c r="O250" s="44"/>
      <c r="P250" s="44"/>
      <c r="Q250" s="44"/>
      <c r="R250" s="44"/>
      <c r="S250" s="44"/>
      <c r="T250" s="44"/>
      <c r="U250" s="44"/>
      <c r="V250" s="44"/>
      <c r="W250" s="44"/>
      <c r="X250" s="44"/>
      <c r="Y250" s="44"/>
      <c r="Z250" s="44"/>
      <c r="AA250" s="44"/>
      <c r="AB250" s="44"/>
      <c r="AC250" s="44"/>
      <c r="AD250" s="44"/>
      <c r="AE250" s="44"/>
      <c r="AF250" s="44"/>
      <c r="AG250" s="44"/>
      <c r="AH250" s="44"/>
      <c r="AI250" s="44"/>
      <c r="AJ250" s="44"/>
      <c r="AK250" s="44"/>
      <c r="AL250" s="44"/>
      <c r="AM250" s="44"/>
      <c r="AN250" s="44"/>
      <c r="AO250" s="44"/>
      <c r="AP250" s="44"/>
      <c r="AQ250" s="44"/>
      <c r="AR250" s="44"/>
      <c r="AS250" s="44"/>
      <c r="AT250" s="44"/>
      <c r="AU250" s="44"/>
      <c r="AV250" s="44"/>
      <c r="AW250" s="44"/>
      <c r="AX250" s="44"/>
      <c r="AY250" s="44"/>
      <c r="AZ250" s="44"/>
      <c r="BA250" s="44"/>
      <c r="BB250" s="44"/>
      <c r="BC250" s="44"/>
      <c r="BD250" s="44"/>
      <c r="BE250" s="44"/>
      <c r="BF250" s="44"/>
      <c r="BG250" s="44"/>
      <c r="BH250" s="44"/>
      <c r="BI250" s="44"/>
      <c r="BJ250" s="44"/>
      <c r="BK250" s="44"/>
      <c r="BL250" s="44"/>
      <c r="BM250" s="44"/>
      <c r="BN250" s="44"/>
      <c r="BO250" s="44"/>
      <c r="BP250" s="44"/>
      <c r="BQ250" s="44"/>
      <c r="BR250" s="44"/>
      <c r="BS250" s="44"/>
      <c r="BT250" s="44"/>
      <c r="BU250" s="44"/>
      <c r="BV250" s="44"/>
      <c r="BW250" s="44"/>
      <c r="BX250" s="44"/>
      <c r="BY250" s="44"/>
      <c r="BZ250" s="44"/>
      <c r="CA250" s="44"/>
      <c r="CB250" s="44"/>
      <c r="CC250" s="44"/>
      <c r="CD250" s="44"/>
      <c r="CE250" s="44"/>
      <c r="CF250" s="44"/>
      <c r="CG250" s="44"/>
      <c r="CH250" s="44"/>
      <c r="CI250" s="44"/>
      <c r="CJ250" s="44"/>
      <c r="CK250" s="44"/>
      <c r="CL250" s="44"/>
      <c r="CM250" s="44"/>
      <c r="CN250" s="44"/>
      <c r="CO250" s="44"/>
      <c r="CP250" s="44"/>
      <c r="CQ250" s="44"/>
      <c r="CR250" s="44"/>
      <c r="CS250" s="44"/>
      <c r="CT250" s="44"/>
      <c r="CU250" s="44"/>
      <c r="CV250" s="44"/>
      <c r="CW250" s="44"/>
      <c r="CX250" s="44"/>
      <c r="CY250" s="44"/>
      <c r="CZ250" s="44"/>
      <c r="DA250" s="44"/>
      <c r="DB250" s="44"/>
      <c r="DC250" s="44"/>
      <c r="DD250" s="44"/>
      <c r="DE250" s="44"/>
      <c r="DF250" s="44"/>
      <c r="DG250" s="44"/>
      <c r="DH250" s="44"/>
      <c r="DI250" s="44"/>
      <c r="DJ250" s="44"/>
      <c r="DK250" s="44"/>
      <c r="DL250" s="44"/>
      <c r="DM250" s="44"/>
      <c r="DN250" s="44"/>
      <c r="DO250" s="44"/>
      <c r="DP250" s="44"/>
      <c r="DQ250" s="44"/>
      <c r="DR250" s="44"/>
      <c r="DS250" s="44"/>
      <c r="DT250" s="44"/>
      <c r="DU250" s="44"/>
      <c r="DV250" s="44"/>
      <c r="DW250" s="44"/>
      <c r="DX250" s="44"/>
      <c r="DY250" s="44"/>
      <c r="DZ250" s="44"/>
      <c r="EA250" s="44"/>
      <c r="EB250" s="44"/>
      <c r="EC250" s="44"/>
      <c r="ED250" s="44"/>
      <c r="EE250" s="44"/>
      <c r="EF250" s="44"/>
      <c r="EG250" s="44"/>
      <c r="EH250" s="44"/>
      <c r="EI250" s="44"/>
      <c r="EJ250" s="44"/>
      <c r="EK250" s="44"/>
      <c r="EL250" s="44"/>
      <c r="EM250" s="44"/>
      <c r="EN250" s="44"/>
      <c r="EO250" s="44"/>
      <c r="EP250" s="44"/>
      <c r="EQ250" s="44"/>
      <c r="ER250" s="44"/>
      <c r="ES250" s="44"/>
      <c r="ET250" s="44"/>
      <c r="EU250" s="44"/>
      <c r="EV250" s="44"/>
      <c r="EW250" s="44"/>
      <c r="EX250" s="44"/>
      <c r="EY250" s="44"/>
      <c r="EZ250" s="44"/>
      <c r="FA250" s="44"/>
      <c r="FB250" s="44"/>
      <c r="FC250" s="44"/>
      <c r="FD250" s="44"/>
      <c r="FE250" s="44"/>
      <c r="FF250" s="44"/>
      <c r="FG250" s="44"/>
      <c r="FH250" s="44"/>
      <c r="FI250" s="44"/>
      <c r="FJ250" s="44"/>
      <c r="FK250" s="44"/>
      <c r="FL250" s="44"/>
      <c r="FM250" s="44"/>
      <c r="FN250" s="44"/>
      <c r="FO250" s="44"/>
      <c r="FP250" s="44"/>
      <c r="FQ250" s="44"/>
      <c r="FR250" s="44"/>
      <c r="FS250" s="44"/>
      <c r="FT250" s="44"/>
      <c r="FU250" s="44"/>
      <c r="FV250" s="44"/>
      <c r="FW250" s="44"/>
      <c r="FX250" s="44"/>
      <c r="FY250" s="44"/>
      <c r="FZ250" s="44"/>
      <c r="GA250" s="44"/>
      <c r="GB250" s="44"/>
      <c r="GC250" s="44"/>
    </row>
    <row r="251" spans="1:185" ht="30" x14ac:dyDescent="0.25">
      <c r="A251" s="310" t="s">
        <v>113</v>
      </c>
      <c r="B251" s="311">
        <f t="shared" ref="B251:D253" si="1">SUM(B243,B231,B219,B207,B195,B182,B168,B154,B142,B128,B116,B103,B90,B76,B63,B51,B37,B23,B8)</f>
        <v>280098</v>
      </c>
      <c r="C251" s="311">
        <f t="shared" si="1"/>
        <v>186729</v>
      </c>
      <c r="D251" s="311">
        <f t="shared" si="1"/>
        <v>189860</v>
      </c>
      <c r="E251" s="311">
        <f>D251/C251*100</f>
        <v>101.67676150999576</v>
      </c>
      <c r="F251" s="682">
        <f t="shared" ref="F251:H253" si="2">SUM(F243,F231,F219,F207,F195,F182,F168,F154,F142,F128,F116,F103,F90,F76,F63,F51,F37,F23,F8)</f>
        <v>433783.30366999999</v>
      </c>
      <c r="G251" s="682">
        <f t="shared" si="2"/>
        <v>289188.88999999996</v>
      </c>
      <c r="H251" s="682">
        <f t="shared" si="2"/>
        <v>293647.64299999998</v>
      </c>
      <c r="I251" s="753">
        <f>H251/G251*100</f>
        <v>101.54181338017516</v>
      </c>
      <c r="J251" s="103"/>
      <c r="K251" s="103"/>
      <c r="L251" s="727"/>
      <c r="M251" s="754"/>
      <c r="N251" s="754"/>
      <c r="O251" s="45"/>
      <c r="P251" s="45"/>
      <c r="Q251" s="45"/>
      <c r="R251" s="45"/>
      <c r="S251" s="45"/>
      <c r="T251" s="45"/>
      <c r="U251" s="45"/>
      <c r="V251" s="45"/>
      <c r="W251" s="45"/>
      <c r="X251" s="45"/>
      <c r="Y251" s="45"/>
      <c r="Z251" s="45"/>
      <c r="AA251" s="45"/>
      <c r="AB251" s="45"/>
      <c r="AC251" s="45"/>
      <c r="AD251" s="45"/>
      <c r="AE251" s="45"/>
      <c r="AF251" s="45"/>
      <c r="AG251" s="45"/>
      <c r="AH251" s="45"/>
      <c r="AI251" s="45"/>
      <c r="AJ251" s="45"/>
      <c r="AK251" s="45"/>
      <c r="AL251" s="45"/>
      <c r="AM251" s="45"/>
      <c r="AN251" s="45"/>
      <c r="AO251" s="45"/>
      <c r="AP251" s="45"/>
      <c r="AQ251" s="45"/>
      <c r="AR251" s="45"/>
      <c r="AS251" s="45"/>
      <c r="AT251" s="45"/>
      <c r="AU251" s="45"/>
      <c r="AV251" s="45"/>
      <c r="AW251" s="45"/>
      <c r="AX251" s="45"/>
      <c r="AY251" s="45"/>
      <c r="AZ251" s="45"/>
      <c r="BA251" s="45"/>
      <c r="BB251" s="45"/>
      <c r="BC251" s="45"/>
      <c r="BD251" s="45"/>
      <c r="BE251" s="45"/>
      <c r="BF251" s="45"/>
      <c r="BG251" s="45"/>
      <c r="BH251" s="45"/>
      <c r="BI251" s="45"/>
      <c r="BJ251" s="45"/>
      <c r="BK251" s="45"/>
      <c r="BL251" s="45"/>
      <c r="BM251" s="45"/>
      <c r="BN251" s="45"/>
      <c r="BO251" s="45"/>
      <c r="BP251" s="45"/>
      <c r="BQ251" s="45"/>
      <c r="BR251" s="45"/>
      <c r="BS251" s="45"/>
      <c r="BT251" s="45"/>
      <c r="BU251" s="45"/>
      <c r="BV251" s="45"/>
      <c r="BW251" s="45"/>
      <c r="BX251" s="45"/>
      <c r="BY251" s="45"/>
      <c r="BZ251" s="45"/>
      <c r="CA251" s="45"/>
      <c r="CB251" s="45"/>
      <c r="CC251" s="45"/>
      <c r="CD251" s="45"/>
      <c r="CE251" s="45"/>
      <c r="CF251" s="45"/>
      <c r="CG251" s="45"/>
      <c r="CH251" s="45"/>
      <c r="CI251" s="45"/>
      <c r="CJ251" s="45"/>
      <c r="CK251" s="45"/>
      <c r="CL251" s="45"/>
      <c r="CM251" s="45"/>
      <c r="CN251" s="45"/>
      <c r="CO251" s="45"/>
      <c r="CP251" s="45"/>
      <c r="CQ251" s="45"/>
      <c r="CR251" s="45"/>
      <c r="CS251" s="45"/>
      <c r="CT251" s="45"/>
      <c r="CU251" s="45"/>
      <c r="CV251" s="45"/>
      <c r="CW251" s="45"/>
      <c r="CX251" s="45"/>
      <c r="CY251" s="45"/>
      <c r="CZ251" s="45"/>
      <c r="DA251" s="45"/>
      <c r="DB251" s="45"/>
      <c r="DC251" s="45"/>
      <c r="DD251" s="45"/>
      <c r="DE251" s="45"/>
      <c r="DF251" s="45"/>
      <c r="DG251" s="45"/>
      <c r="DH251" s="45"/>
      <c r="DI251" s="45"/>
      <c r="DJ251" s="45"/>
      <c r="DK251" s="45"/>
      <c r="DL251" s="45"/>
      <c r="DM251" s="45"/>
      <c r="DN251" s="45"/>
      <c r="DO251" s="45"/>
      <c r="DP251" s="45"/>
      <c r="DQ251" s="45"/>
      <c r="DR251" s="45"/>
      <c r="DS251" s="45"/>
      <c r="DT251" s="45"/>
      <c r="DU251" s="45"/>
      <c r="DV251" s="45"/>
      <c r="DW251" s="45"/>
      <c r="DX251" s="45"/>
      <c r="DY251" s="45"/>
      <c r="DZ251" s="45"/>
      <c r="EA251" s="45"/>
      <c r="EB251" s="45"/>
      <c r="EC251" s="45"/>
      <c r="ED251" s="45"/>
      <c r="EE251" s="45"/>
      <c r="EF251" s="45"/>
      <c r="EG251" s="45"/>
      <c r="EH251" s="45"/>
      <c r="EI251" s="45"/>
      <c r="EJ251" s="45"/>
      <c r="EK251" s="45"/>
      <c r="EL251" s="45"/>
      <c r="EM251" s="45"/>
      <c r="EN251" s="45"/>
      <c r="EO251" s="45"/>
      <c r="EP251" s="45"/>
      <c r="EQ251" s="45"/>
      <c r="ER251" s="45"/>
      <c r="ES251" s="45"/>
      <c r="ET251" s="45"/>
      <c r="EU251" s="45"/>
      <c r="EV251" s="45"/>
      <c r="EW251" s="45"/>
      <c r="EX251" s="45"/>
      <c r="EY251" s="45"/>
      <c r="EZ251" s="45"/>
      <c r="FA251" s="45"/>
      <c r="FB251" s="45"/>
      <c r="FC251" s="45"/>
      <c r="FD251" s="45"/>
      <c r="FE251" s="45"/>
      <c r="FF251" s="45"/>
      <c r="FG251" s="45"/>
      <c r="FH251" s="45"/>
      <c r="FI251" s="45"/>
      <c r="FJ251" s="45"/>
      <c r="FK251" s="45"/>
      <c r="FL251" s="45"/>
      <c r="FM251" s="45"/>
      <c r="FN251" s="45"/>
      <c r="FO251" s="45"/>
      <c r="FP251" s="45"/>
      <c r="FQ251" s="45"/>
      <c r="FR251" s="45"/>
      <c r="FS251" s="45"/>
      <c r="FT251" s="45"/>
      <c r="FU251" s="45"/>
      <c r="FV251" s="45"/>
      <c r="FW251" s="45"/>
      <c r="FX251" s="45"/>
      <c r="FY251" s="45"/>
      <c r="FZ251" s="45"/>
      <c r="GA251" s="45"/>
      <c r="GB251" s="45"/>
      <c r="GC251" s="45"/>
    </row>
    <row r="252" spans="1:185" ht="30" x14ac:dyDescent="0.25">
      <c r="A252" s="25" t="s">
        <v>79</v>
      </c>
      <c r="B252" s="42">
        <f t="shared" si="1"/>
        <v>210843</v>
      </c>
      <c r="C252" s="42">
        <f t="shared" si="1"/>
        <v>140563</v>
      </c>
      <c r="D252" s="107">
        <f t="shared" si="1"/>
        <v>145496</v>
      </c>
      <c r="E252" s="107">
        <f t="shared" ref="E252:E262" si="3">D252/C252*100</f>
        <v>103.5094583923223</v>
      </c>
      <c r="F252" s="760">
        <f t="shared" si="2"/>
        <v>294100.02622</v>
      </c>
      <c r="G252" s="760">
        <f t="shared" si="2"/>
        <v>196066.7</v>
      </c>
      <c r="H252" s="760">
        <f t="shared" si="2"/>
        <v>198082.67812000003</v>
      </c>
      <c r="I252" s="42">
        <f t="shared" si="0"/>
        <v>101.02821035902578</v>
      </c>
      <c r="J252" s="103"/>
      <c r="L252" s="727"/>
      <c r="M252" s="754"/>
      <c r="N252" s="754"/>
      <c r="O252" s="45"/>
      <c r="P252" s="45"/>
      <c r="Q252" s="45"/>
      <c r="R252" s="45"/>
      <c r="S252" s="45"/>
      <c r="T252" s="45"/>
      <c r="U252" s="45"/>
      <c r="V252" s="45"/>
      <c r="W252" s="45"/>
      <c r="X252" s="45"/>
      <c r="Y252" s="45"/>
      <c r="Z252" s="45"/>
      <c r="AA252" s="45"/>
      <c r="AB252" s="45"/>
      <c r="AC252" s="45"/>
      <c r="AD252" s="45"/>
      <c r="AE252" s="45"/>
      <c r="AF252" s="45"/>
      <c r="AG252" s="45"/>
      <c r="AH252" s="45"/>
      <c r="AI252" s="45"/>
      <c r="AJ252" s="45"/>
      <c r="AK252" s="45"/>
      <c r="AL252" s="45"/>
      <c r="AM252" s="45"/>
      <c r="AN252" s="45"/>
      <c r="AO252" s="45"/>
      <c r="AP252" s="45"/>
      <c r="AQ252" s="45"/>
      <c r="AR252" s="45"/>
      <c r="AS252" s="45"/>
      <c r="AT252" s="45"/>
      <c r="AU252" s="45"/>
      <c r="AV252" s="45"/>
      <c r="AW252" s="45"/>
      <c r="AX252" s="45"/>
      <c r="AY252" s="45"/>
      <c r="AZ252" s="45"/>
      <c r="BA252" s="45"/>
      <c r="BB252" s="45"/>
      <c r="BC252" s="45"/>
      <c r="BD252" s="45"/>
      <c r="BE252" s="45"/>
      <c r="BF252" s="45"/>
      <c r="BG252" s="45"/>
      <c r="BH252" s="45"/>
      <c r="BI252" s="45"/>
      <c r="BJ252" s="45"/>
      <c r="BK252" s="45"/>
      <c r="BL252" s="45"/>
      <c r="BM252" s="45"/>
      <c r="BN252" s="45"/>
      <c r="BO252" s="45"/>
      <c r="BP252" s="45"/>
      <c r="BQ252" s="45"/>
      <c r="BR252" s="45"/>
      <c r="BS252" s="45"/>
      <c r="BT252" s="45"/>
      <c r="BU252" s="45"/>
      <c r="BV252" s="45"/>
      <c r="BW252" s="45"/>
      <c r="BX252" s="45"/>
      <c r="BY252" s="45"/>
      <c r="BZ252" s="45"/>
      <c r="CA252" s="45"/>
      <c r="CB252" s="45"/>
      <c r="CC252" s="45"/>
      <c r="CD252" s="45"/>
      <c r="CE252" s="45"/>
      <c r="CF252" s="45"/>
      <c r="CG252" s="45"/>
      <c r="CH252" s="45"/>
      <c r="CI252" s="45"/>
      <c r="CJ252" s="45"/>
      <c r="CK252" s="45"/>
      <c r="CL252" s="45"/>
      <c r="CM252" s="45"/>
      <c r="CN252" s="45"/>
      <c r="CO252" s="45"/>
      <c r="CP252" s="45"/>
      <c r="CQ252" s="45"/>
      <c r="CR252" s="45"/>
      <c r="CS252" s="45"/>
      <c r="CT252" s="45"/>
      <c r="CU252" s="45"/>
      <c r="CV252" s="45"/>
      <c r="CW252" s="45"/>
      <c r="CX252" s="45"/>
      <c r="CY252" s="45"/>
      <c r="CZ252" s="45"/>
      <c r="DA252" s="45"/>
      <c r="DB252" s="45"/>
      <c r="DC252" s="45"/>
      <c r="DD252" s="45"/>
      <c r="DE252" s="45"/>
      <c r="DF252" s="45"/>
      <c r="DG252" s="45"/>
      <c r="DH252" s="45"/>
      <c r="DI252" s="45"/>
      <c r="DJ252" s="45"/>
      <c r="DK252" s="45"/>
      <c r="DL252" s="45"/>
      <c r="DM252" s="45"/>
      <c r="DN252" s="45"/>
      <c r="DO252" s="45"/>
      <c r="DP252" s="45"/>
      <c r="DQ252" s="45"/>
      <c r="DR252" s="45"/>
      <c r="DS252" s="45"/>
      <c r="DT252" s="45"/>
      <c r="DU252" s="45"/>
      <c r="DV252" s="45"/>
      <c r="DW252" s="45"/>
      <c r="DX252" s="45"/>
      <c r="DY252" s="45"/>
      <c r="DZ252" s="45"/>
      <c r="EA252" s="45"/>
      <c r="EB252" s="45"/>
      <c r="EC252" s="45"/>
      <c r="ED252" s="45"/>
      <c r="EE252" s="45"/>
      <c r="EF252" s="45"/>
      <c r="EG252" s="45"/>
      <c r="EH252" s="45"/>
      <c r="EI252" s="45"/>
      <c r="EJ252" s="45"/>
      <c r="EK252" s="45"/>
      <c r="EL252" s="45"/>
      <c r="EM252" s="45"/>
      <c r="EN252" s="45"/>
      <c r="EO252" s="45"/>
      <c r="EP252" s="45"/>
      <c r="EQ252" s="45"/>
      <c r="ER252" s="45"/>
      <c r="ES252" s="45"/>
      <c r="ET252" s="45"/>
      <c r="EU252" s="45"/>
      <c r="EV252" s="45"/>
      <c r="EW252" s="45"/>
      <c r="EX252" s="45"/>
      <c r="EY252" s="45"/>
      <c r="EZ252" s="45"/>
      <c r="FA252" s="45"/>
      <c r="FB252" s="45"/>
      <c r="FC252" s="45"/>
      <c r="FD252" s="45"/>
      <c r="FE252" s="45"/>
      <c r="FF252" s="45"/>
      <c r="FG252" s="45"/>
      <c r="FH252" s="45"/>
      <c r="FI252" s="45"/>
      <c r="FJ252" s="45"/>
      <c r="FK252" s="45"/>
      <c r="FL252" s="45"/>
      <c r="FM252" s="45"/>
      <c r="FN252" s="45"/>
      <c r="FO252" s="45"/>
      <c r="FP252" s="45"/>
      <c r="FQ252" s="45"/>
      <c r="FR252" s="45"/>
      <c r="FS252" s="45"/>
      <c r="FT252" s="45"/>
      <c r="FU252" s="45"/>
      <c r="FV252" s="45"/>
      <c r="FW252" s="45"/>
      <c r="FX252" s="45"/>
      <c r="FY252" s="45"/>
      <c r="FZ252" s="45"/>
      <c r="GA252" s="45"/>
      <c r="GB252" s="45"/>
      <c r="GC252" s="45"/>
    </row>
    <row r="253" spans="1:185" ht="30" x14ac:dyDescent="0.25">
      <c r="A253" s="25" t="s">
        <v>80</v>
      </c>
      <c r="B253" s="42">
        <f t="shared" si="1"/>
        <v>63289</v>
      </c>
      <c r="C253" s="42">
        <f t="shared" si="1"/>
        <v>42191</v>
      </c>
      <c r="D253" s="107">
        <f t="shared" si="1"/>
        <v>38753</v>
      </c>
      <c r="E253" s="107">
        <f t="shared" si="3"/>
        <v>91.851342703420158</v>
      </c>
      <c r="F253" s="760">
        <f t="shared" si="2"/>
        <v>103470.04845</v>
      </c>
      <c r="G253" s="760">
        <f t="shared" si="2"/>
        <v>68980.010000000009</v>
      </c>
      <c r="H253" s="760">
        <f t="shared" si="2"/>
        <v>62172.058420000001</v>
      </c>
      <c r="I253" s="42">
        <f t="shared" si="0"/>
        <v>90.130544225783666</v>
      </c>
      <c r="J253" s="103"/>
      <c r="L253" s="727"/>
      <c r="M253" s="754"/>
      <c r="N253" s="754"/>
      <c r="O253" s="45"/>
      <c r="P253" s="45"/>
      <c r="Q253" s="45"/>
      <c r="R253" s="45"/>
      <c r="S253" s="45"/>
      <c r="T253" s="45"/>
      <c r="U253" s="45"/>
      <c r="V253" s="45"/>
      <c r="W253" s="45"/>
      <c r="X253" s="45"/>
      <c r="Y253" s="45"/>
      <c r="Z253" s="45"/>
      <c r="AA253" s="45"/>
      <c r="AB253" s="45"/>
      <c r="AC253" s="45"/>
      <c r="AD253" s="45"/>
      <c r="AE253" s="45"/>
      <c r="AF253" s="45"/>
      <c r="AG253" s="45"/>
      <c r="AH253" s="45"/>
      <c r="AI253" s="45"/>
      <c r="AJ253" s="45"/>
      <c r="AK253" s="45"/>
      <c r="AL253" s="45"/>
      <c r="AM253" s="45"/>
      <c r="AN253" s="45"/>
      <c r="AO253" s="45"/>
      <c r="AP253" s="45"/>
      <c r="AQ253" s="45"/>
      <c r="AR253" s="45"/>
      <c r="AS253" s="45"/>
      <c r="AT253" s="45"/>
      <c r="AU253" s="45"/>
      <c r="AV253" s="45"/>
      <c r="AW253" s="45"/>
      <c r="AX253" s="45"/>
      <c r="AY253" s="45"/>
      <c r="AZ253" s="45"/>
      <c r="BA253" s="45"/>
      <c r="BB253" s="45"/>
      <c r="BC253" s="45"/>
      <c r="BD253" s="45"/>
      <c r="BE253" s="45"/>
      <c r="BF253" s="45"/>
      <c r="BG253" s="45"/>
      <c r="BH253" s="45"/>
      <c r="BI253" s="45"/>
      <c r="BJ253" s="45"/>
      <c r="BK253" s="45"/>
      <c r="BL253" s="45"/>
      <c r="BM253" s="45"/>
      <c r="BN253" s="45"/>
      <c r="BO253" s="45"/>
      <c r="BP253" s="45"/>
      <c r="BQ253" s="45"/>
      <c r="BR253" s="45"/>
      <c r="BS253" s="45"/>
      <c r="BT253" s="45"/>
      <c r="BU253" s="45"/>
      <c r="BV253" s="45"/>
      <c r="BW253" s="45"/>
      <c r="BX253" s="45"/>
      <c r="BY253" s="45"/>
      <c r="BZ253" s="45"/>
      <c r="CA253" s="45"/>
      <c r="CB253" s="45"/>
      <c r="CC253" s="45"/>
      <c r="CD253" s="45"/>
      <c r="CE253" s="45"/>
      <c r="CF253" s="45"/>
      <c r="CG253" s="45"/>
      <c r="CH253" s="45"/>
      <c r="CI253" s="45"/>
      <c r="CJ253" s="45"/>
      <c r="CK253" s="45"/>
      <c r="CL253" s="45"/>
      <c r="CM253" s="45"/>
      <c r="CN253" s="45"/>
      <c r="CO253" s="45"/>
      <c r="CP253" s="45"/>
      <c r="CQ253" s="45"/>
      <c r="CR253" s="45"/>
      <c r="CS253" s="45"/>
      <c r="CT253" s="45"/>
      <c r="CU253" s="45"/>
      <c r="CV253" s="45"/>
      <c r="CW253" s="45"/>
      <c r="CX253" s="45"/>
      <c r="CY253" s="45"/>
      <c r="CZ253" s="45"/>
      <c r="DA253" s="45"/>
      <c r="DB253" s="45"/>
      <c r="DC253" s="45"/>
      <c r="DD253" s="45"/>
      <c r="DE253" s="45"/>
      <c r="DF253" s="45"/>
      <c r="DG253" s="45"/>
      <c r="DH253" s="45"/>
      <c r="DI253" s="45"/>
      <c r="DJ253" s="45"/>
      <c r="DK253" s="45"/>
      <c r="DL253" s="45"/>
      <c r="DM253" s="45"/>
      <c r="DN253" s="45"/>
      <c r="DO253" s="45"/>
      <c r="DP253" s="45"/>
      <c r="DQ253" s="45"/>
      <c r="DR253" s="45"/>
      <c r="DS253" s="45"/>
      <c r="DT253" s="45"/>
      <c r="DU253" s="45"/>
      <c r="DV253" s="45"/>
      <c r="DW253" s="45"/>
      <c r="DX253" s="45"/>
      <c r="DY253" s="45"/>
      <c r="DZ253" s="45"/>
      <c r="EA253" s="45"/>
      <c r="EB253" s="45"/>
      <c r="EC253" s="45"/>
      <c r="ED253" s="45"/>
      <c r="EE253" s="45"/>
      <c r="EF253" s="45"/>
      <c r="EG253" s="45"/>
      <c r="EH253" s="45"/>
      <c r="EI253" s="45"/>
      <c r="EJ253" s="45"/>
      <c r="EK253" s="45"/>
      <c r="EL253" s="45"/>
      <c r="EM253" s="45"/>
      <c r="EN253" s="45"/>
      <c r="EO253" s="45"/>
      <c r="EP253" s="45"/>
      <c r="EQ253" s="45"/>
      <c r="ER253" s="45"/>
      <c r="ES253" s="45"/>
      <c r="ET253" s="45"/>
      <c r="EU253" s="45"/>
      <c r="EV253" s="45"/>
      <c r="EW253" s="45"/>
      <c r="EX253" s="45"/>
      <c r="EY253" s="45"/>
      <c r="EZ253" s="45"/>
      <c r="FA253" s="45"/>
      <c r="FB253" s="45"/>
      <c r="FC253" s="45"/>
      <c r="FD253" s="45"/>
      <c r="FE253" s="45"/>
      <c r="FF253" s="45"/>
      <c r="FG253" s="45"/>
      <c r="FH253" s="45"/>
      <c r="FI253" s="45"/>
      <c r="FJ253" s="45"/>
      <c r="FK253" s="45"/>
      <c r="FL253" s="45"/>
      <c r="FM253" s="45"/>
      <c r="FN253" s="45"/>
      <c r="FO253" s="45"/>
      <c r="FP253" s="45"/>
      <c r="FQ253" s="45"/>
      <c r="FR253" s="45"/>
      <c r="FS253" s="45"/>
      <c r="FT253" s="45"/>
      <c r="FU253" s="45"/>
      <c r="FV253" s="45"/>
      <c r="FW253" s="45"/>
      <c r="FX253" s="45"/>
      <c r="FY253" s="45"/>
      <c r="FZ253" s="45"/>
      <c r="GA253" s="45"/>
      <c r="GB253" s="45"/>
      <c r="GC253" s="45"/>
    </row>
    <row r="254" spans="1:185" ht="45" x14ac:dyDescent="0.25">
      <c r="A254" s="25" t="s">
        <v>110</v>
      </c>
      <c r="B254" s="107">
        <f t="shared" ref="B254:D255" si="4">SUM(B234,B222,B210,B198,B185,B171,B157,B145,B131,B119,B106,B93,B79,B66,B54,B40,B26,B11)</f>
        <v>2002</v>
      </c>
      <c r="C254" s="107">
        <f t="shared" si="4"/>
        <v>1334</v>
      </c>
      <c r="D254" s="107">
        <f t="shared" si="4"/>
        <v>1940</v>
      </c>
      <c r="E254" s="107">
        <f t="shared" si="3"/>
        <v>145.42728635682158</v>
      </c>
      <c r="F254" s="760">
        <f t="shared" ref="F254:H255" si="5">SUM(F234,F222,F210,F198,F185,F171,F157,F145,F131,F119,F106,F93,F79,F66,F54,F40,F26,F11)</f>
        <v>11773.77764</v>
      </c>
      <c r="G254" s="760">
        <f t="shared" si="5"/>
        <v>7849.21</v>
      </c>
      <c r="H254" s="760">
        <f t="shared" si="5"/>
        <v>11075.330190000001</v>
      </c>
      <c r="I254" s="42">
        <f t="shared" si="0"/>
        <v>141.10120878406875</v>
      </c>
      <c r="J254" s="103"/>
      <c r="L254" s="727"/>
      <c r="M254" s="754"/>
      <c r="N254" s="754"/>
      <c r="O254" s="45"/>
      <c r="P254" s="45"/>
      <c r="Q254" s="45"/>
      <c r="R254" s="45"/>
      <c r="S254" s="45"/>
      <c r="T254" s="45"/>
      <c r="U254" s="45"/>
      <c r="V254" s="45"/>
      <c r="W254" s="45"/>
      <c r="X254" s="45"/>
      <c r="Y254" s="45"/>
      <c r="Z254" s="45"/>
      <c r="AA254" s="45"/>
      <c r="AB254" s="45"/>
      <c r="AC254" s="45"/>
      <c r="AD254" s="45"/>
      <c r="AE254" s="45"/>
      <c r="AF254" s="45"/>
      <c r="AG254" s="45"/>
      <c r="AH254" s="45"/>
      <c r="AI254" s="45"/>
      <c r="AJ254" s="45"/>
      <c r="AK254" s="45"/>
      <c r="AL254" s="45"/>
      <c r="AM254" s="45"/>
      <c r="AN254" s="45"/>
      <c r="AO254" s="45"/>
      <c r="AP254" s="45"/>
      <c r="AQ254" s="45"/>
      <c r="AR254" s="45"/>
      <c r="AS254" s="45"/>
      <c r="AT254" s="45"/>
      <c r="AU254" s="45"/>
      <c r="AV254" s="45"/>
      <c r="AW254" s="45"/>
      <c r="AX254" s="45"/>
      <c r="AY254" s="45"/>
      <c r="AZ254" s="45"/>
      <c r="BA254" s="45"/>
      <c r="BB254" s="45"/>
      <c r="BC254" s="45"/>
      <c r="BD254" s="45"/>
      <c r="BE254" s="45"/>
      <c r="BF254" s="45"/>
      <c r="BG254" s="45"/>
      <c r="BH254" s="45"/>
      <c r="BI254" s="45"/>
      <c r="BJ254" s="45"/>
      <c r="BK254" s="45"/>
      <c r="BL254" s="45"/>
      <c r="BM254" s="45"/>
      <c r="BN254" s="45"/>
      <c r="BO254" s="45"/>
      <c r="BP254" s="45"/>
      <c r="BQ254" s="45"/>
      <c r="BR254" s="45"/>
      <c r="BS254" s="45"/>
      <c r="BT254" s="45"/>
      <c r="BU254" s="45"/>
      <c r="BV254" s="45"/>
      <c r="BW254" s="45"/>
      <c r="BX254" s="45"/>
      <c r="BY254" s="45"/>
      <c r="BZ254" s="45"/>
      <c r="CA254" s="45"/>
      <c r="CB254" s="45"/>
      <c r="CC254" s="45"/>
      <c r="CD254" s="45"/>
      <c r="CE254" s="45"/>
      <c r="CF254" s="45"/>
      <c r="CG254" s="45"/>
      <c r="CH254" s="45"/>
      <c r="CI254" s="45"/>
      <c r="CJ254" s="45"/>
      <c r="CK254" s="45"/>
      <c r="CL254" s="45"/>
      <c r="CM254" s="45"/>
      <c r="CN254" s="45"/>
      <c r="CO254" s="45"/>
      <c r="CP254" s="45"/>
      <c r="CQ254" s="45"/>
      <c r="CR254" s="45"/>
      <c r="CS254" s="45"/>
      <c r="CT254" s="45"/>
      <c r="CU254" s="45"/>
      <c r="CV254" s="45"/>
      <c r="CW254" s="45"/>
      <c r="CX254" s="45"/>
      <c r="CY254" s="45"/>
      <c r="CZ254" s="45"/>
      <c r="DA254" s="45"/>
      <c r="DB254" s="45"/>
      <c r="DC254" s="45"/>
      <c r="DD254" s="45"/>
      <c r="DE254" s="45"/>
      <c r="DF254" s="45"/>
      <c r="DG254" s="45"/>
      <c r="DH254" s="45"/>
      <c r="DI254" s="45"/>
      <c r="DJ254" s="45"/>
      <c r="DK254" s="45"/>
      <c r="DL254" s="45"/>
      <c r="DM254" s="45"/>
      <c r="DN254" s="45"/>
      <c r="DO254" s="45"/>
      <c r="DP254" s="45"/>
      <c r="DQ254" s="45"/>
      <c r="DR254" s="45"/>
      <c r="DS254" s="45"/>
      <c r="DT254" s="45"/>
      <c r="DU254" s="45"/>
      <c r="DV254" s="45"/>
      <c r="DW254" s="45"/>
      <c r="DX254" s="45"/>
      <c r="DY254" s="45"/>
      <c r="DZ254" s="45"/>
      <c r="EA254" s="45"/>
      <c r="EB254" s="45"/>
      <c r="EC254" s="45"/>
      <c r="ED254" s="45"/>
      <c r="EE254" s="45"/>
      <c r="EF254" s="45"/>
      <c r="EG254" s="45"/>
      <c r="EH254" s="45"/>
      <c r="EI254" s="45"/>
      <c r="EJ254" s="45"/>
      <c r="EK254" s="45"/>
      <c r="EL254" s="45"/>
      <c r="EM254" s="45"/>
      <c r="EN254" s="45"/>
      <c r="EO254" s="45"/>
      <c r="EP254" s="45"/>
      <c r="EQ254" s="45"/>
      <c r="ER254" s="45"/>
      <c r="ES254" s="45"/>
      <c r="ET254" s="45"/>
      <c r="EU254" s="45"/>
      <c r="EV254" s="45"/>
      <c r="EW254" s="45"/>
      <c r="EX254" s="45"/>
      <c r="EY254" s="45"/>
      <c r="EZ254" s="45"/>
      <c r="FA254" s="45"/>
      <c r="FB254" s="45"/>
      <c r="FC254" s="45"/>
      <c r="FD254" s="45"/>
      <c r="FE254" s="45"/>
      <c r="FF254" s="45"/>
      <c r="FG254" s="45"/>
      <c r="FH254" s="45"/>
      <c r="FI254" s="45"/>
      <c r="FJ254" s="45"/>
      <c r="FK254" s="45"/>
      <c r="FL254" s="45"/>
      <c r="FM254" s="45"/>
      <c r="FN254" s="45"/>
      <c r="FO254" s="45"/>
      <c r="FP254" s="45"/>
      <c r="FQ254" s="45"/>
      <c r="FR254" s="45"/>
      <c r="FS254" s="45"/>
      <c r="FT254" s="45"/>
      <c r="FU254" s="45"/>
      <c r="FV254" s="45"/>
      <c r="FW254" s="45"/>
      <c r="FX254" s="45"/>
      <c r="FY254" s="45"/>
      <c r="FZ254" s="45"/>
      <c r="GA254" s="45"/>
      <c r="GB254" s="45"/>
      <c r="GC254" s="45"/>
    </row>
    <row r="255" spans="1:185" ht="30" x14ac:dyDescent="0.25">
      <c r="A255" s="25" t="s">
        <v>111</v>
      </c>
      <c r="B255" s="107">
        <f t="shared" si="4"/>
        <v>3964</v>
      </c>
      <c r="C255" s="107">
        <f t="shared" si="4"/>
        <v>2641</v>
      </c>
      <c r="D255" s="107">
        <f t="shared" si="4"/>
        <v>3671</v>
      </c>
      <c r="E255" s="107">
        <f t="shared" si="3"/>
        <v>139.00037864445284</v>
      </c>
      <c r="F255" s="760">
        <f t="shared" si="5"/>
        <v>24439.451359999999</v>
      </c>
      <c r="G255" s="760">
        <f t="shared" si="5"/>
        <v>16292.97</v>
      </c>
      <c r="H255" s="760">
        <f t="shared" si="5"/>
        <v>22317.576270000005</v>
      </c>
      <c r="I255" s="42">
        <f t="shared" si="0"/>
        <v>136.97672229188419</v>
      </c>
      <c r="J255" s="103"/>
      <c r="L255" s="727"/>
      <c r="M255" s="754"/>
      <c r="N255" s="754"/>
      <c r="O255" s="45"/>
      <c r="P255" s="45"/>
      <c r="Q255" s="45"/>
      <c r="R255" s="45"/>
      <c r="S255" s="45"/>
      <c r="T255" s="45"/>
      <c r="U255" s="45"/>
      <c r="V255" s="45"/>
      <c r="W255" s="45"/>
      <c r="X255" s="45"/>
      <c r="Y255" s="45"/>
      <c r="Z255" s="45"/>
      <c r="AA255" s="45"/>
      <c r="AB255" s="45"/>
      <c r="AC255" s="45"/>
      <c r="AD255" s="45"/>
      <c r="AE255" s="45"/>
      <c r="AF255" s="45"/>
      <c r="AG255" s="45"/>
      <c r="AH255" s="45"/>
      <c r="AI255" s="45"/>
      <c r="AJ255" s="45"/>
      <c r="AK255" s="45"/>
      <c r="AL255" s="45"/>
      <c r="AM255" s="45"/>
      <c r="AN255" s="45"/>
      <c r="AO255" s="45"/>
      <c r="AP255" s="45"/>
      <c r="AQ255" s="45"/>
      <c r="AR255" s="45"/>
      <c r="AS255" s="45"/>
      <c r="AT255" s="45"/>
      <c r="AU255" s="45"/>
      <c r="AV255" s="45"/>
      <c r="AW255" s="45"/>
      <c r="AX255" s="45"/>
      <c r="AY255" s="45"/>
      <c r="AZ255" s="45"/>
      <c r="BA255" s="45"/>
      <c r="BB255" s="45"/>
      <c r="BC255" s="45"/>
      <c r="BD255" s="45"/>
      <c r="BE255" s="45"/>
      <c r="BF255" s="45"/>
      <c r="BG255" s="45"/>
      <c r="BH255" s="45"/>
      <c r="BI255" s="45"/>
      <c r="BJ255" s="45"/>
      <c r="BK255" s="45"/>
      <c r="BL255" s="45"/>
      <c r="BM255" s="45"/>
      <c r="BN255" s="45"/>
      <c r="BO255" s="45"/>
      <c r="BP255" s="45"/>
      <c r="BQ255" s="45"/>
      <c r="BR255" s="45"/>
      <c r="BS255" s="45"/>
      <c r="BT255" s="45"/>
      <c r="BU255" s="45"/>
      <c r="BV255" s="45"/>
      <c r="BW255" s="45"/>
      <c r="BX255" s="45"/>
      <c r="BY255" s="45"/>
      <c r="BZ255" s="45"/>
      <c r="CA255" s="45"/>
      <c r="CB255" s="45"/>
      <c r="CC255" s="45"/>
      <c r="CD255" s="45"/>
      <c r="CE255" s="45"/>
      <c r="CF255" s="45"/>
      <c r="CG255" s="45"/>
      <c r="CH255" s="45"/>
      <c r="CI255" s="45"/>
      <c r="CJ255" s="45"/>
      <c r="CK255" s="45"/>
      <c r="CL255" s="45"/>
      <c r="CM255" s="45"/>
      <c r="CN255" s="45"/>
      <c r="CO255" s="45"/>
      <c r="CP255" s="45"/>
      <c r="CQ255" s="45"/>
      <c r="CR255" s="45"/>
      <c r="CS255" s="45"/>
      <c r="CT255" s="45"/>
      <c r="CU255" s="45"/>
      <c r="CV255" s="45"/>
      <c r="CW255" s="45"/>
      <c r="CX255" s="45"/>
      <c r="CY255" s="45"/>
      <c r="CZ255" s="45"/>
      <c r="DA255" s="45"/>
      <c r="DB255" s="45"/>
      <c r="DC255" s="45"/>
      <c r="DD255" s="45"/>
      <c r="DE255" s="45"/>
      <c r="DF255" s="45"/>
      <c r="DG255" s="45"/>
      <c r="DH255" s="45"/>
      <c r="DI255" s="45"/>
      <c r="DJ255" s="45"/>
      <c r="DK255" s="45"/>
      <c r="DL255" s="45"/>
      <c r="DM255" s="45"/>
      <c r="DN255" s="45"/>
      <c r="DO255" s="45"/>
      <c r="DP255" s="45"/>
      <c r="DQ255" s="45"/>
      <c r="DR255" s="45"/>
      <c r="DS255" s="45"/>
      <c r="DT255" s="45"/>
      <c r="DU255" s="45"/>
      <c r="DV255" s="45"/>
      <c r="DW255" s="45"/>
      <c r="DX255" s="45"/>
      <c r="DY255" s="45"/>
      <c r="DZ255" s="45"/>
      <c r="EA255" s="45"/>
      <c r="EB255" s="45"/>
      <c r="EC255" s="45"/>
      <c r="ED255" s="45"/>
      <c r="EE255" s="45"/>
      <c r="EF255" s="45"/>
      <c r="EG255" s="45"/>
      <c r="EH255" s="45"/>
      <c r="EI255" s="45"/>
      <c r="EJ255" s="45"/>
      <c r="EK255" s="45"/>
      <c r="EL255" s="45"/>
      <c r="EM255" s="45"/>
      <c r="EN255" s="45"/>
      <c r="EO255" s="45"/>
      <c r="EP255" s="45"/>
      <c r="EQ255" s="45"/>
      <c r="ER255" s="45"/>
      <c r="ES255" s="45"/>
      <c r="ET255" s="45"/>
      <c r="EU255" s="45"/>
      <c r="EV255" s="45"/>
      <c r="EW255" s="45"/>
      <c r="EX255" s="45"/>
      <c r="EY255" s="45"/>
      <c r="EZ255" s="45"/>
      <c r="FA255" s="45"/>
      <c r="FB255" s="45"/>
      <c r="FC255" s="45"/>
      <c r="FD255" s="45"/>
      <c r="FE255" s="45"/>
      <c r="FF255" s="45"/>
      <c r="FG255" s="45"/>
      <c r="FH255" s="45"/>
      <c r="FI255" s="45"/>
      <c r="FJ255" s="45"/>
      <c r="FK255" s="45"/>
      <c r="FL255" s="45"/>
      <c r="FM255" s="45"/>
      <c r="FN255" s="45"/>
      <c r="FO255" s="45"/>
      <c r="FP255" s="45"/>
      <c r="FQ255" s="45"/>
      <c r="FR255" s="45"/>
      <c r="FS255" s="45"/>
      <c r="FT255" s="45"/>
      <c r="FU255" s="45"/>
      <c r="FV255" s="45"/>
      <c r="FW255" s="45"/>
      <c r="FX255" s="45"/>
      <c r="FY255" s="45"/>
      <c r="FZ255" s="45"/>
      <c r="GA255" s="45"/>
      <c r="GB255" s="45"/>
      <c r="GC255" s="45"/>
    </row>
    <row r="256" spans="1:185" ht="30" x14ac:dyDescent="0.25">
      <c r="A256" s="542" t="s">
        <v>112</v>
      </c>
      <c r="B256" s="597">
        <f t="shared" ref="B256:D257" si="6">SUM(B246,B236,B224,B212,B200,B187,B173,B159,B147,B133,B121,B108,B95,B81,B68,B56,B42,B28,B13)</f>
        <v>369976</v>
      </c>
      <c r="C256" s="597">
        <f t="shared" si="6"/>
        <v>246650</v>
      </c>
      <c r="D256" s="597">
        <f t="shared" si="6"/>
        <v>226312</v>
      </c>
      <c r="E256" s="597">
        <f t="shared" si="3"/>
        <v>91.754307723494833</v>
      </c>
      <c r="F256" s="699">
        <f t="shared" ref="F256:H257" si="7">SUM(F246,F236,F224,F212,F200,F187,F173,F159,F147,F133,F121,F108,F95,F81,F68,F56,F42,F28,F13)</f>
        <v>755528.03685000003</v>
      </c>
      <c r="G256" s="699">
        <f t="shared" si="7"/>
        <v>503685.32999999996</v>
      </c>
      <c r="H256" s="699">
        <f t="shared" si="7"/>
        <v>455874.91585000011</v>
      </c>
      <c r="I256" s="597">
        <f t="shared" si="0"/>
        <v>90.507880356571064</v>
      </c>
      <c r="J256" s="103"/>
      <c r="K256" s="103"/>
      <c r="L256" s="727"/>
      <c r="M256" s="754"/>
      <c r="N256" s="754"/>
      <c r="O256" s="45"/>
      <c r="P256" s="45"/>
      <c r="Q256" s="45"/>
      <c r="R256" s="45"/>
      <c r="S256" s="45"/>
      <c r="T256" s="45"/>
      <c r="U256" s="45"/>
      <c r="V256" s="45"/>
      <c r="W256" s="45"/>
      <c r="X256" s="45"/>
      <c r="Y256" s="45"/>
      <c r="Z256" s="45"/>
      <c r="AA256" s="45"/>
      <c r="AB256" s="45"/>
      <c r="AC256" s="45"/>
      <c r="AD256" s="45"/>
      <c r="AE256" s="45"/>
      <c r="AF256" s="45"/>
      <c r="AG256" s="45"/>
      <c r="AH256" s="45"/>
      <c r="AI256" s="45"/>
      <c r="AJ256" s="45"/>
      <c r="AK256" s="45"/>
      <c r="AL256" s="45"/>
      <c r="AM256" s="45"/>
      <c r="AN256" s="45"/>
      <c r="AO256" s="45"/>
      <c r="AP256" s="45"/>
      <c r="AQ256" s="45"/>
      <c r="AR256" s="45"/>
      <c r="AS256" s="45"/>
      <c r="AT256" s="45"/>
      <c r="AU256" s="45"/>
      <c r="AV256" s="45"/>
      <c r="AW256" s="45"/>
      <c r="AX256" s="45"/>
      <c r="AY256" s="45"/>
      <c r="AZ256" s="45"/>
      <c r="BA256" s="45"/>
      <c r="BB256" s="45"/>
      <c r="BC256" s="45"/>
      <c r="BD256" s="45"/>
      <c r="BE256" s="45"/>
      <c r="BF256" s="45"/>
      <c r="BG256" s="45"/>
      <c r="BH256" s="45"/>
      <c r="BI256" s="45"/>
      <c r="BJ256" s="45"/>
      <c r="BK256" s="45"/>
      <c r="BL256" s="45"/>
      <c r="BM256" s="45"/>
      <c r="BN256" s="45"/>
      <c r="BO256" s="45"/>
      <c r="BP256" s="45"/>
      <c r="BQ256" s="45"/>
      <c r="BR256" s="45"/>
      <c r="BS256" s="45"/>
      <c r="BT256" s="45"/>
      <c r="BU256" s="45"/>
      <c r="BV256" s="45"/>
      <c r="BW256" s="45"/>
      <c r="BX256" s="45"/>
      <c r="BY256" s="45"/>
      <c r="BZ256" s="45"/>
      <c r="CA256" s="45"/>
      <c r="CB256" s="45"/>
      <c r="CC256" s="45"/>
      <c r="CD256" s="45"/>
      <c r="CE256" s="45"/>
      <c r="CF256" s="45"/>
      <c r="CG256" s="45"/>
      <c r="CH256" s="45"/>
      <c r="CI256" s="45"/>
      <c r="CJ256" s="45"/>
      <c r="CK256" s="45"/>
      <c r="CL256" s="45"/>
      <c r="CM256" s="45"/>
      <c r="CN256" s="45"/>
      <c r="CO256" s="45"/>
      <c r="CP256" s="45"/>
      <c r="CQ256" s="45"/>
      <c r="CR256" s="45"/>
      <c r="CS256" s="45"/>
      <c r="CT256" s="45"/>
      <c r="CU256" s="45"/>
      <c r="CV256" s="45"/>
      <c r="CW256" s="45"/>
      <c r="CX256" s="45"/>
      <c r="CY256" s="45"/>
      <c r="CZ256" s="45"/>
      <c r="DA256" s="45"/>
      <c r="DB256" s="45"/>
      <c r="DC256" s="45"/>
      <c r="DD256" s="45"/>
      <c r="DE256" s="45"/>
      <c r="DF256" s="45"/>
      <c r="DG256" s="45"/>
      <c r="DH256" s="45"/>
      <c r="DI256" s="45"/>
      <c r="DJ256" s="45"/>
      <c r="DK256" s="45"/>
      <c r="DL256" s="45"/>
      <c r="DM256" s="45"/>
      <c r="DN256" s="45"/>
      <c r="DO256" s="45"/>
      <c r="DP256" s="45"/>
      <c r="DQ256" s="45"/>
      <c r="DR256" s="45"/>
      <c r="DS256" s="45"/>
      <c r="DT256" s="45"/>
      <c r="DU256" s="45"/>
      <c r="DV256" s="45"/>
      <c r="DW256" s="45"/>
      <c r="DX256" s="45"/>
      <c r="DY256" s="45"/>
      <c r="DZ256" s="45"/>
      <c r="EA256" s="45"/>
      <c r="EB256" s="45"/>
      <c r="EC256" s="45"/>
      <c r="ED256" s="45"/>
      <c r="EE256" s="45"/>
      <c r="EF256" s="45"/>
      <c r="EG256" s="45"/>
      <c r="EH256" s="45"/>
      <c r="EI256" s="45"/>
      <c r="EJ256" s="45"/>
      <c r="EK256" s="45"/>
      <c r="EL256" s="45"/>
      <c r="EM256" s="45"/>
      <c r="EN256" s="45"/>
      <c r="EO256" s="45"/>
      <c r="EP256" s="45"/>
      <c r="EQ256" s="45"/>
      <c r="ER256" s="45"/>
      <c r="ES256" s="45"/>
      <c r="ET256" s="45"/>
      <c r="EU256" s="45"/>
      <c r="EV256" s="45"/>
      <c r="EW256" s="45"/>
      <c r="EX256" s="45"/>
      <c r="EY256" s="45"/>
      <c r="EZ256" s="45"/>
      <c r="FA256" s="45"/>
      <c r="FB256" s="45"/>
      <c r="FC256" s="45"/>
      <c r="FD256" s="45"/>
      <c r="FE256" s="45"/>
      <c r="FF256" s="45"/>
      <c r="FG256" s="45"/>
      <c r="FH256" s="45"/>
      <c r="FI256" s="45"/>
      <c r="FJ256" s="45"/>
      <c r="FK256" s="45"/>
      <c r="FL256" s="45"/>
      <c r="FM256" s="45"/>
      <c r="FN256" s="45"/>
      <c r="FO256" s="45"/>
      <c r="FP256" s="45"/>
      <c r="FQ256" s="45"/>
      <c r="FR256" s="45"/>
      <c r="FS256" s="45"/>
      <c r="FT256" s="45"/>
      <c r="FU256" s="45"/>
      <c r="FV256" s="45"/>
      <c r="FW256" s="45"/>
      <c r="FX256" s="45"/>
      <c r="FY256" s="45"/>
      <c r="FZ256" s="45"/>
      <c r="GA256" s="45"/>
      <c r="GB256" s="45"/>
      <c r="GC256" s="45"/>
    </row>
    <row r="257" spans="1:185" ht="30" x14ac:dyDescent="0.25">
      <c r="A257" s="25" t="s">
        <v>108</v>
      </c>
      <c r="B257" s="107">
        <f t="shared" si="6"/>
        <v>49546</v>
      </c>
      <c r="C257" s="107">
        <f t="shared" si="6"/>
        <v>33030</v>
      </c>
      <c r="D257" s="107">
        <f t="shared" si="6"/>
        <v>30610</v>
      </c>
      <c r="E257" s="107">
        <f t="shared" si="3"/>
        <v>92.673327278231909</v>
      </c>
      <c r="F257" s="760">
        <f t="shared" si="7"/>
        <v>95621.844550000009</v>
      </c>
      <c r="G257" s="760">
        <f t="shared" si="7"/>
        <v>63747.89</v>
      </c>
      <c r="H257" s="760">
        <f t="shared" si="7"/>
        <v>58710.014930000005</v>
      </c>
      <c r="I257" s="42">
        <f t="shared" si="0"/>
        <v>92.097189303049888</v>
      </c>
      <c r="J257" s="103"/>
      <c r="L257" s="727"/>
      <c r="M257" s="754"/>
      <c r="N257" s="754"/>
      <c r="O257" s="45"/>
      <c r="P257" s="45"/>
      <c r="Q257" s="45"/>
      <c r="R257" s="45"/>
      <c r="S257" s="45"/>
      <c r="T257" s="45"/>
      <c r="U257" s="45"/>
      <c r="V257" s="45"/>
      <c r="W257" s="45"/>
      <c r="X257" s="45"/>
      <c r="Y257" s="45"/>
      <c r="Z257" s="45"/>
      <c r="AA257" s="45"/>
      <c r="AB257" s="45"/>
      <c r="AC257" s="45"/>
      <c r="AD257" s="45"/>
      <c r="AE257" s="45"/>
      <c r="AF257" s="45"/>
      <c r="AG257" s="45"/>
      <c r="AH257" s="45"/>
      <c r="AI257" s="45"/>
      <c r="AJ257" s="45"/>
      <c r="AK257" s="45"/>
      <c r="AL257" s="45"/>
      <c r="AM257" s="45"/>
      <c r="AN257" s="45"/>
      <c r="AO257" s="45"/>
      <c r="AP257" s="45"/>
      <c r="AQ257" s="45"/>
      <c r="AR257" s="45"/>
      <c r="AS257" s="45"/>
      <c r="AT257" s="45"/>
      <c r="AU257" s="45"/>
      <c r="AV257" s="45"/>
      <c r="AW257" s="45"/>
      <c r="AX257" s="45"/>
      <c r="AY257" s="45"/>
      <c r="AZ257" s="45"/>
      <c r="BA257" s="45"/>
      <c r="BB257" s="45"/>
      <c r="BC257" s="45"/>
      <c r="BD257" s="45"/>
      <c r="BE257" s="45"/>
      <c r="BF257" s="45"/>
      <c r="BG257" s="45"/>
      <c r="BH257" s="45"/>
      <c r="BI257" s="45"/>
      <c r="BJ257" s="45"/>
      <c r="BK257" s="45"/>
      <c r="BL257" s="45"/>
      <c r="BM257" s="45"/>
      <c r="BN257" s="45"/>
      <c r="BO257" s="45"/>
      <c r="BP257" s="45"/>
      <c r="BQ257" s="45"/>
      <c r="BR257" s="45"/>
      <c r="BS257" s="45"/>
      <c r="BT257" s="45"/>
      <c r="BU257" s="45"/>
      <c r="BV257" s="45"/>
      <c r="BW257" s="45"/>
      <c r="BX257" s="45"/>
      <c r="BY257" s="45"/>
      <c r="BZ257" s="45"/>
      <c r="CA257" s="45"/>
      <c r="CB257" s="45"/>
      <c r="CC257" s="45"/>
      <c r="CD257" s="45"/>
      <c r="CE257" s="45"/>
      <c r="CF257" s="45"/>
      <c r="CG257" s="45"/>
      <c r="CH257" s="45"/>
      <c r="CI257" s="45"/>
      <c r="CJ257" s="45"/>
      <c r="CK257" s="45"/>
      <c r="CL257" s="45"/>
      <c r="CM257" s="45"/>
      <c r="CN257" s="45"/>
      <c r="CO257" s="45"/>
      <c r="CP257" s="45"/>
      <c r="CQ257" s="45"/>
      <c r="CR257" s="45"/>
      <c r="CS257" s="45"/>
      <c r="CT257" s="45"/>
      <c r="CU257" s="45"/>
      <c r="CV257" s="45"/>
      <c r="CW257" s="45"/>
      <c r="CX257" s="45"/>
      <c r="CY257" s="45"/>
      <c r="CZ257" s="45"/>
      <c r="DA257" s="45"/>
      <c r="DB257" s="45"/>
      <c r="DC257" s="45"/>
      <c r="DD257" s="45"/>
      <c r="DE257" s="45"/>
      <c r="DF257" s="45"/>
      <c r="DG257" s="45"/>
      <c r="DH257" s="45"/>
      <c r="DI257" s="45"/>
      <c r="DJ257" s="45"/>
      <c r="DK257" s="45"/>
      <c r="DL257" s="45"/>
      <c r="DM257" s="45"/>
      <c r="DN257" s="45"/>
      <c r="DO257" s="45"/>
      <c r="DP257" s="45"/>
      <c r="DQ257" s="45"/>
      <c r="DR257" s="45"/>
      <c r="DS257" s="45"/>
      <c r="DT257" s="45"/>
      <c r="DU257" s="45"/>
      <c r="DV257" s="45"/>
      <c r="DW257" s="45"/>
      <c r="DX257" s="45"/>
      <c r="DY257" s="45"/>
      <c r="DZ257" s="45"/>
      <c r="EA257" s="45"/>
      <c r="EB257" s="45"/>
      <c r="EC257" s="45"/>
      <c r="ED257" s="45"/>
      <c r="EE257" s="45"/>
      <c r="EF257" s="45"/>
      <c r="EG257" s="45"/>
      <c r="EH257" s="45"/>
      <c r="EI257" s="45"/>
      <c r="EJ257" s="45"/>
      <c r="EK257" s="45"/>
      <c r="EL257" s="45"/>
      <c r="EM257" s="45"/>
      <c r="EN257" s="45"/>
      <c r="EO257" s="45"/>
      <c r="EP257" s="45"/>
      <c r="EQ257" s="45"/>
      <c r="ER257" s="45"/>
      <c r="ES257" s="45"/>
      <c r="ET257" s="45"/>
      <c r="EU257" s="45"/>
      <c r="EV257" s="45"/>
      <c r="EW257" s="45"/>
      <c r="EX257" s="45"/>
      <c r="EY257" s="45"/>
      <c r="EZ257" s="45"/>
      <c r="FA257" s="45"/>
      <c r="FB257" s="45"/>
      <c r="FC257" s="45"/>
      <c r="FD257" s="45"/>
      <c r="FE257" s="45"/>
      <c r="FF257" s="45"/>
      <c r="FG257" s="45"/>
      <c r="FH257" s="45"/>
      <c r="FI257" s="45"/>
      <c r="FJ257" s="45"/>
      <c r="FK257" s="45"/>
      <c r="FL257" s="45"/>
      <c r="FM257" s="45"/>
      <c r="FN257" s="45"/>
      <c r="FO257" s="45"/>
      <c r="FP257" s="45"/>
      <c r="FQ257" s="45"/>
      <c r="FR257" s="45"/>
      <c r="FS257" s="45"/>
      <c r="FT257" s="45"/>
      <c r="FU257" s="45"/>
      <c r="FV257" s="45"/>
      <c r="FW257" s="45"/>
      <c r="FX257" s="45"/>
      <c r="FY257" s="45"/>
      <c r="FZ257" s="45"/>
      <c r="GA257" s="45"/>
      <c r="GB257" s="45"/>
      <c r="GC257" s="45"/>
    </row>
    <row r="258" spans="1:185" ht="60" x14ac:dyDescent="0.25">
      <c r="A258" s="25" t="s">
        <v>81</v>
      </c>
      <c r="B258" s="107">
        <f t="shared" ref="B258:D259" si="8">SUM(B238,B226,B214,B202,B189,B175,B161,B149,B135,B123,B110,B97,B83,B70,B58,B44,B30,B15)</f>
        <v>235265</v>
      </c>
      <c r="C258" s="107">
        <f t="shared" si="8"/>
        <v>156843</v>
      </c>
      <c r="D258" s="107">
        <f t="shared" si="8"/>
        <v>143224</v>
      </c>
      <c r="E258" s="107">
        <f t="shared" si="3"/>
        <v>91.316794501507886</v>
      </c>
      <c r="F258" s="760">
        <f t="shared" ref="F258:H259" si="9">SUM(F238,F226,F214,F202,F189,F175,F161,F149,F135,F123,F110,F97,F83,F70,F58,F44,F30,F15)</f>
        <v>582424.83866000001</v>
      </c>
      <c r="G258" s="760">
        <f t="shared" si="9"/>
        <v>388283.2</v>
      </c>
      <c r="H258" s="760">
        <f t="shared" si="9"/>
        <v>345102.06721999997</v>
      </c>
      <c r="I258" s="42">
        <f t="shared" si="0"/>
        <v>88.878959280236685</v>
      </c>
      <c r="J258" s="103"/>
      <c r="L258" s="727"/>
      <c r="M258" s="754"/>
      <c r="N258" s="754"/>
      <c r="O258" s="45"/>
      <c r="P258" s="45"/>
      <c r="Q258" s="45"/>
      <c r="R258" s="45"/>
      <c r="S258" s="45"/>
      <c r="T258" s="45"/>
      <c r="U258" s="45"/>
      <c r="V258" s="45"/>
      <c r="W258" s="45"/>
      <c r="X258" s="45"/>
      <c r="Y258" s="45"/>
      <c r="Z258" s="45"/>
      <c r="AA258" s="45"/>
      <c r="AB258" s="45"/>
      <c r="AC258" s="45"/>
      <c r="AD258" s="45"/>
      <c r="AE258" s="45"/>
      <c r="AF258" s="45"/>
      <c r="AG258" s="45"/>
      <c r="AH258" s="45"/>
      <c r="AI258" s="45"/>
      <c r="AJ258" s="45"/>
      <c r="AK258" s="45"/>
      <c r="AL258" s="45"/>
      <c r="AM258" s="45"/>
      <c r="AN258" s="45"/>
      <c r="AO258" s="45"/>
      <c r="AP258" s="45"/>
      <c r="AQ258" s="45"/>
      <c r="AR258" s="45"/>
      <c r="AS258" s="45"/>
      <c r="AT258" s="45"/>
      <c r="AU258" s="45"/>
      <c r="AV258" s="45"/>
      <c r="AW258" s="45"/>
      <c r="AX258" s="45"/>
      <c r="AY258" s="45"/>
      <c r="AZ258" s="45"/>
      <c r="BA258" s="45"/>
      <c r="BB258" s="45"/>
      <c r="BC258" s="45"/>
      <c r="BD258" s="45"/>
      <c r="BE258" s="45"/>
      <c r="BF258" s="45"/>
      <c r="BG258" s="45"/>
      <c r="BH258" s="45"/>
      <c r="BI258" s="45"/>
      <c r="BJ258" s="45"/>
      <c r="BK258" s="45"/>
      <c r="BL258" s="45"/>
      <c r="BM258" s="45"/>
      <c r="BN258" s="45"/>
      <c r="BO258" s="45"/>
      <c r="BP258" s="45"/>
      <c r="BQ258" s="45"/>
      <c r="BR258" s="45"/>
      <c r="BS258" s="45"/>
      <c r="BT258" s="45"/>
      <c r="BU258" s="45"/>
      <c r="BV258" s="45"/>
      <c r="BW258" s="45"/>
      <c r="BX258" s="45"/>
      <c r="BY258" s="45"/>
      <c r="BZ258" s="45"/>
      <c r="CA258" s="45"/>
      <c r="CB258" s="45"/>
      <c r="CC258" s="45"/>
      <c r="CD258" s="45"/>
      <c r="CE258" s="45"/>
      <c r="CF258" s="45"/>
      <c r="CG258" s="45"/>
      <c r="CH258" s="45"/>
      <c r="CI258" s="45"/>
      <c r="CJ258" s="45"/>
      <c r="CK258" s="45"/>
      <c r="CL258" s="45"/>
      <c r="CM258" s="45"/>
      <c r="CN258" s="45"/>
      <c r="CO258" s="45"/>
      <c r="CP258" s="45"/>
      <c r="CQ258" s="45"/>
      <c r="CR258" s="45"/>
      <c r="CS258" s="45"/>
      <c r="CT258" s="45"/>
      <c r="CU258" s="45"/>
      <c r="CV258" s="45"/>
      <c r="CW258" s="45"/>
      <c r="CX258" s="45"/>
      <c r="CY258" s="45"/>
      <c r="CZ258" s="45"/>
      <c r="DA258" s="45"/>
      <c r="DB258" s="45"/>
      <c r="DC258" s="45"/>
      <c r="DD258" s="45"/>
      <c r="DE258" s="45"/>
      <c r="DF258" s="45"/>
      <c r="DG258" s="45"/>
      <c r="DH258" s="45"/>
      <c r="DI258" s="45"/>
      <c r="DJ258" s="45"/>
      <c r="DK258" s="45"/>
      <c r="DL258" s="45"/>
      <c r="DM258" s="45"/>
      <c r="DN258" s="45"/>
      <c r="DO258" s="45"/>
      <c r="DP258" s="45"/>
      <c r="DQ258" s="45"/>
      <c r="DR258" s="45"/>
      <c r="DS258" s="45"/>
      <c r="DT258" s="45"/>
      <c r="DU258" s="45"/>
      <c r="DV258" s="45"/>
      <c r="DW258" s="45"/>
      <c r="DX258" s="45"/>
      <c r="DY258" s="45"/>
      <c r="DZ258" s="45"/>
      <c r="EA258" s="45"/>
      <c r="EB258" s="45"/>
      <c r="EC258" s="45"/>
      <c r="ED258" s="45"/>
      <c r="EE258" s="45"/>
      <c r="EF258" s="45"/>
      <c r="EG258" s="45"/>
      <c r="EH258" s="45"/>
      <c r="EI258" s="45"/>
      <c r="EJ258" s="45"/>
      <c r="EK258" s="45"/>
      <c r="EL258" s="45"/>
      <c r="EM258" s="45"/>
      <c r="EN258" s="45"/>
      <c r="EO258" s="45"/>
      <c r="EP258" s="45"/>
      <c r="EQ258" s="45"/>
      <c r="ER258" s="45"/>
      <c r="ES258" s="45"/>
      <c r="ET258" s="45"/>
      <c r="EU258" s="45"/>
      <c r="EV258" s="45"/>
      <c r="EW258" s="45"/>
      <c r="EX258" s="45"/>
      <c r="EY258" s="45"/>
      <c r="EZ258" s="45"/>
      <c r="FA258" s="45"/>
      <c r="FB258" s="45"/>
      <c r="FC258" s="45"/>
      <c r="FD258" s="45"/>
      <c r="FE258" s="45"/>
      <c r="FF258" s="45"/>
      <c r="FG258" s="45"/>
      <c r="FH258" s="45"/>
      <c r="FI258" s="45"/>
      <c r="FJ258" s="45"/>
      <c r="FK258" s="45"/>
      <c r="FL258" s="45"/>
      <c r="FM258" s="45"/>
      <c r="FN258" s="45"/>
      <c r="FO258" s="45"/>
      <c r="FP258" s="45"/>
      <c r="FQ258" s="45"/>
      <c r="FR258" s="45"/>
      <c r="FS258" s="45"/>
      <c r="FT258" s="45"/>
      <c r="FU258" s="45"/>
      <c r="FV258" s="45"/>
      <c r="FW258" s="45"/>
      <c r="FX258" s="45"/>
      <c r="FY258" s="45"/>
      <c r="FZ258" s="45"/>
      <c r="GA258" s="45"/>
      <c r="GB258" s="45"/>
      <c r="GC258" s="45"/>
    </row>
    <row r="259" spans="1:185" ht="45" x14ac:dyDescent="0.25">
      <c r="A259" s="25" t="s">
        <v>109</v>
      </c>
      <c r="B259" s="107">
        <f t="shared" si="8"/>
        <v>85165</v>
      </c>
      <c r="C259" s="107">
        <f t="shared" si="8"/>
        <v>56777</v>
      </c>
      <c r="D259" s="107">
        <f t="shared" si="8"/>
        <v>52478</v>
      </c>
      <c r="E259" s="107">
        <f t="shared" si="3"/>
        <v>92.428272011553972</v>
      </c>
      <c r="F259" s="760">
        <f t="shared" si="9"/>
        <v>77481.353640000001</v>
      </c>
      <c r="G259" s="760">
        <f t="shared" si="9"/>
        <v>51654.239999999998</v>
      </c>
      <c r="H259" s="760">
        <f t="shared" si="9"/>
        <v>52062.833700000003</v>
      </c>
      <c r="I259" s="42">
        <f t="shared" si="0"/>
        <v>100.79101676842018</v>
      </c>
      <c r="J259" s="103"/>
      <c r="L259" s="727"/>
      <c r="M259" s="754"/>
      <c r="N259" s="754"/>
      <c r="O259" s="45"/>
      <c r="P259" s="45"/>
      <c r="Q259" s="45"/>
      <c r="R259" s="45"/>
      <c r="S259" s="45"/>
      <c r="T259" s="45"/>
      <c r="U259" s="45"/>
      <c r="V259" s="45"/>
      <c r="W259" s="45"/>
      <c r="X259" s="45"/>
      <c r="Y259" s="45"/>
      <c r="Z259" s="45"/>
      <c r="AA259" s="45"/>
      <c r="AB259" s="45"/>
      <c r="AC259" s="45"/>
      <c r="AD259" s="45"/>
      <c r="AE259" s="45"/>
      <c r="AF259" s="45"/>
      <c r="AG259" s="45"/>
      <c r="AH259" s="45"/>
      <c r="AI259" s="45"/>
      <c r="AJ259" s="45"/>
      <c r="AK259" s="45"/>
      <c r="AL259" s="45"/>
      <c r="AM259" s="45"/>
      <c r="AN259" s="45"/>
      <c r="AO259" s="45"/>
      <c r="AP259" s="45"/>
      <c r="AQ259" s="45"/>
      <c r="AR259" s="45"/>
      <c r="AS259" s="45"/>
      <c r="AT259" s="45"/>
      <c r="AU259" s="45"/>
      <c r="AV259" s="45"/>
      <c r="AW259" s="45"/>
      <c r="AX259" s="45"/>
      <c r="AY259" s="45"/>
      <c r="AZ259" s="45"/>
      <c r="BA259" s="45"/>
      <c r="BB259" s="45"/>
      <c r="BC259" s="45"/>
      <c r="BD259" s="45"/>
      <c r="BE259" s="45"/>
      <c r="BF259" s="45"/>
      <c r="BG259" s="45"/>
      <c r="BH259" s="45"/>
      <c r="BI259" s="45"/>
      <c r="BJ259" s="45"/>
      <c r="BK259" s="45"/>
      <c r="BL259" s="45"/>
      <c r="BM259" s="45"/>
      <c r="BN259" s="45"/>
      <c r="BO259" s="45"/>
      <c r="BP259" s="45"/>
      <c r="BQ259" s="45"/>
      <c r="BR259" s="45"/>
      <c r="BS259" s="45"/>
      <c r="BT259" s="45"/>
      <c r="BU259" s="45"/>
      <c r="BV259" s="45"/>
      <c r="BW259" s="45"/>
      <c r="BX259" s="45"/>
      <c r="BY259" s="45"/>
      <c r="BZ259" s="45"/>
      <c r="CA259" s="45"/>
      <c r="CB259" s="45"/>
      <c r="CC259" s="45"/>
      <c r="CD259" s="45"/>
      <c r="CE259" s="45"/>
      <c r="CF259" s="45"/>
      <c r="CG259" s="45"/>
      <c r="CH259" s="45"/>
      <c r="CI259" s="45"/>
      <c r="CJ259" s="45"/>
      <c r="CK259" s="45"/>
      <c r="CL259" s="45"/>
      <c r="CM259" s="45"/>
      <c r="CN259" s="45"/>
      <c r="CO259" s="45"/>
      <c r="CP259" s="45"/>
      <c r="CQ259" s="45"/>
      <c r="CR259" s="45"/>
      <c r="CS259" s="45"/>
      <c r="CT259" s="45"/>
      <c r="CU259" s="45"/>
      <c r="CV259" s="45"/>
      <c r="CW259" s="45"/>
      <c r="CX259" s="45"/>
      <c r="CY259" s="45"/>
      <c r="CZ259" s="45"/>
      <c r="DA259" s="45"/>
      <c r="DB259" s="45"/>
      <c r="DC259" s="45"/>
      <c r="DD259" s="45"/>
      <c r="DE259" s="45"/>
      <c r="DF259" s="45"/>
      <c r="DG259" s="45"/>
      <c r="DH259" s="45"/>
      <c r="DI259" s="45"/>
      <c r="DJ259" s="45"/>
      <c r="DK259" s="45"/>
      <c r="DL259" s="45"/>
      <c r="DM259" s="45"/>
      <c r="DN259" s="45"/>
      <c r="DO259" s="45"/>
      <c r="DP259" s="45"/>
      <c r="DQ259" s="45"/>
      <c r="DR259" s="45"/>
      <c r="DS259" s="45"/>
      <c r="DT259" s="45"/>
      <c r="DU259" s="45"/>
      <c r="DV259" s="45"/>
      <c r="DW259" s="45"/>
      <c r="DX259" s="45"/>
      <c r="DY259" s="45"/>
      <c r="DZ259" s="45"/>
      <c r="EA259" s="45"/>
      <c r="EB259" s="45"/>
      <c r="EC259" s="45"/>
      <c r="ED259" s="45"/>
      <c r="EE259" s="45"/>
      <c r="EF259" s="45"/>
      <c r="EG259" s="45"/>
      <c r="EH259" s="45"/>
      <c r="EI259" s="45"/>
      <c r="EJ259" s="45"/>
      <c r="EK259" s="45"/>
      <c r="EL259" s="45"/>
      <c r="EM259" s="45"/>
      <c r="EN259" s="45"/>
      <c r="EO259" s="45"/>
      <c r="EP259" s="45"/>
      <c r="EQ259" s="45"/>
      <c r="ER259" s="45"/>
      <c r="ES259" s="45"/>
      <c r="ET259" s="45"/>
      <c r="EU259" s="45"/>
      <c r="EV259" s="45"/>
      <c r="EW259" s="45"/>
      <c r="EX259" s="45"/>
      <c r="EY259" s="45"/>
      <c r="EZ259" s="45"/>
      <c r="FA259" s="45"/>
      <c r="FB259" s="45"/>
      <c r="FC259" s="45"/>
      <c r="FD259" s="45"/>
      <c r="FE259" s="45"/>
      <c r="FF259" s="45"/>
      <c r="FG259" s="45"/>
      <c r="FH259" s="45"/>
      <c r="FI259" s="45"/>
      <c r="FJ259" s="45"/>
      <c r="FK259" s="45"/>
      <c r="FL259" s="45"/>
      <c r="FM259" s="45"/>
      <c r="FN259" s="45"/>
      <c r="FO259" s="45"/>
      <c r="FP259" s="45"/>
      <c r="FQ259" s="45"/>
      <c r="FR259" s="45"/>
      <c r="FS259" s="45"/>
      <c r="FT259" s="45"/>
      <c r="FU259" s="45"/>
      <c r="FV259" s="45"/>
      <c r="FW259" s="45"/>
      <c r="FX259" s="45"/>
      <c r="FY259" s="45"/>
      <c r="FZ259" s="45"/>
      <c r="GA259" s="45"/>
      <c r="GB259" s="45"/>
      <c r="GC259" s="45"/>
    </row>
    <row r="260" spans="1:185" ht="30" x14ac:dyDescent="0.25">
      <c r="A260" s="667" t="s">
        <v>123</v>
      </c>
      <c r="B260" s="107">
        <f>SUM(B248,B240,B228,B216,B204,B191,B177,B163,B137,B125,B112,B99,B85,B72,B60,B46,B32,B17,B151)</f>
        <v>674898.8</v>
      </c>
      <c r="C260" s="107">
        <f>SUM(C248,C240,C228,C216,C204,C191,C177,C163,C137,C125,C112,C99,C85,C72,C60,C46,C32,C17,C151)</f>
        <v>449932</v>
      </c>
      <c r="D260" s="42">
        <f>SUM(D248,D240,D228,D216,D204,D191,D177,D163,D137,D125,D112,D99,D85,D72,D60,D46,D32,D17,D151)</f>
        <v>432039</v>
      </c>
      <c r="E260" s="107">
        <f t="shared" si="3"/>
        <v>96.023176835610712</v>
      </c>
      <c r="F260" s="696">
        <f t="shared" ref="F260:G260" si="10">SUM(F248,F240,F228,F216,F204,F191,F177,F163,F137,F125,F112,F99,F85,F72,F60,F46,F32,F17,F151)</f>
        <v>590898.19284000003</v>
      </c>
      <c r="G260" s="696">
        <f t="shared" si="10"/>
        <v>393932.12000000005</v>
      </c>
      <c r="H260" s="696">
        <f>SUM(H248,H240,H228,H216,H204,H191,H177,H163,H137,H125,H112,H99,H85,H72,H60,H46,H32,H17,H151)</f>
        <v>378847.84309999994</v>
      </c>
      <c r="I260" s="42">
        <f>H260/G260*100</f>
        <v>96.170843621484821</v>
      </c>
      <c r="J260" s="103"/>
      <c r="L260" s="727"/>
      <c r="M260" s="754"/>
      <c r="N260" s="754"/>
      <c r="O260" s="45"/>
      <c r="P260" s="45"/>
      <c r="Q260" s="45"/>
      <c r="R260" s="45"/>
      <c r="S260" s="45"/>
      <c r="T260" s="45"/>
      <c r="U260" s="45"/>
      <c r="V260" s="45"/>
      <c r="W260" s="45"/>
      <c r="X260" s="45"/>
      <c r="Y260" s="45"/>
      <c r="Z260" s="45"/>
      <c r="AA260" s="45"/>
      <c r="AB260" s="45"/>
      <c r="AC260" s="45"/>
      <c r="AD260" s="45"/>
      <c r="AE260" s="45"/>
      <c r="AF260" s="45"/>
      <c r="AG260" s="45"/>
      <c r="AH260" s="45"/>
      <c r="AI260" s="45"/>
      <c r="AJ260" s="45"/>
      <c r="AK260" s="45"/>
      <c r="AL260" s="45"/>
      <c r="AM260" s="45"/>
      <c r="AN260" s="45"/>
      <c r="AO260" s="45"/>
      <c r="AP260" s="45"/>
      <c r="AQ260" s="45"/>
      <c r="AR260" s="45"/>
      <c r="AS260" s="45"/>
      <c r="AT260" s="45"/>
      <c r="AU260" s="45"/>
      <c r="AV260" s="45"/>
      <c r="AW260" s="45"/>
      <c r="AX260" s="45"/>
      <c r="AY260" s="45"/>
      <c r="AZ260" s="45"/>
      <c r="BA260" s="45"/>
      <c r="BB260" s="45"/>
      <c r="BC260" s="45"/>
      <c r="BD260" s="45"/>
      <c r="BE260" s="45"/>
      <c r="BF260" s="45"/>
      <c r="BG260" s="45"/>
      <c r="BH260" s="45"/>
      <c r="BI260" s="45"/>
      <c r="BJ260" s="45"/>
      <c r="BK260" s="45"/>
      <c r="BL260" s="45"/>
      <c r="BM260" s="45"/>
      <c r="BN260" s="45"/>
      <c r="BO260" s="45"/>
      <c r="BP260" s="45"/>
      <c r="BQ260" s="45"/>
      <c r="BR260" s="45"/>
      <c r="BS260" s="45"/>
      <c r="BT260" s="45"/>
      <c r="BU260" s="45"/>
      <c r="BV260" s="45"/>
      <c r="BW260" s="45"/>
      <c r="BX260" s="45"/>
      <c r="BY260" s="45"/>
      <c r="BZ260" s="45"/>
      <c r="CA260" s="45"/>
      <c r="CB260" s="45"/>
      <c r="CC260" s="45"/>
      <c r="CD260" s="45"/>
      <c r="CE260" s="45"/>
      <c r="CF260" s="45"/>
      <c r="CG260" s="45"/>
      <c r="CH260" s="45"/>
      <c r="CI260" s="45"/>
      <c r="CJ260" s="45"/>
      <c r="CK260" s="45"/>
      <c r="CL260" s="45"/>
      <c r="CM260" s="45"/>
      <c r="CN260" s="45"/>
      <c r="CO260" s="45"/>
      <c r="CP260" s="45"/>
      <c r="CQ260" s="45"/>
      <c r="CR260" s="45"/>
      <c r="CS260" s="45"/>
      <c r="CT260" s="45"/>
      <c r="CU260" s="45"/>
      <c r="CV260" s="45"/>
      <c r="CW260" s="45"/>
      <c r="CX260" s="45"/>
      <c r="CY260" s="45"/>
      <c r="CZ260" s="45"/>
      <c r="DA260" s="45"/>
      <c r="DB260" s="45"/>
      <c r="DC260" s="45"/>
      <c r="DD260" s="45"/>
      <c r="DE260" s="45"/>
      <c r="DF260" s="45"/>
      <c r="DG260" s="45"/>
      <c r="DH260" s="45"/>
      <c r="DI260" s="45"/>
      <c r="DJ260" s="45"/>
      <c r="DK260" s="45"/>
      <c r="DL260" s="45"/>
      <c r="DM260" s="45"/>
      <c r="DN260" s="45"/>
      <c r="DO260" s="45"/>
      <c r="DP260" s="45"/>
      <c r="DQ260" s="45"/>
      <c r="DR260" s="45"/>
      <c r="DS260" s="45"/>
      <c r="DT260" s="45"/>
      <c r="DU260" s="45"/>
      <c r="DV260" s="45"/>
      <c r="DW260" s="45"/>
      <c r="DX260" s="45"/>
      <c r="DY260" s="45"/>
      <c r="DZ260" s="45"/>
      <c r="EA260" s="45"/>
      <c r="EB260" s="45"/>
      <c r="EC260" s="45"/>
      <c r="ED260" s="45"/>
      <c r="EE260" s="45"/>
      <c r="EF260" s="45"/>
      <c r="EG260" s="45"/>
      <c r="EH260" s="45"/>
      <c r="EI260" s="45"/>
      <c r="EJ260" s="45"/>
      <c r="EK260" s="45"/>
      <c r="EL260" s="45"/>
      <c r="EM260" s="45"/>
      <c r="EN260" s="45"/>
      <c r="EO260" s="45"/>
      <c r="EP260" s="45"/>
      <c r="EQ260" s="45"/>
      <c r="ER260" s="45"/>
      <c r="ES260" s="45"/>
      <c r="ET260" s="45"/>
      <c r="EU260" s="45"/>
      <c r="EV260" s="45"/>
      <c r="EW260" s="45"/>
      <c r="EX260" s="45"/>
      <c r="EY260" s="45"/>
      <c r="EZ260" s="45"/>
      <c r="FA260" s="45"/>
      <c r="FB260" s="45"/>
      <c r="FC260" s="45"/>
      <c r="FD260" s="45"/>
      <c r="FE260" s="45"/>
      <c r="FF260" s="45"/>
      <c r="FG260" s="45"/>
      <c r="FH260" s="45"/>
      <c r="FI260" s="45"/>
      <c r="FJ260" s="45"/>
      <c r="FK260" s="45"/>
      <c r="FL260" s="45"/>
      <c r="FM260" s="45"/>
      <c r="FN260" s="45"/>
      <c r="FO260" s="45"/>
      <c r="FP260" s="45"/>
      <c r="FQ260" s="45"/>
      <c r="FR260" s="45"/>
      <c r="FS260" s="45"/>
      <c r="FT260" s="45"/>
      <c r="FU260" s="45"/>
      <c r="FV260" s="45"/>
      <c r="FW260" s="45"/>
      <c r="FX260" s="45"/>
      <c r="FY260" s="45"/>
      <c r="FZ260" s="45"/>
      <c r="GA260" s="45"/>
      <c r="GB260" s="45"/>
      <c r="GC260" s="45"/>
    </row>
    <row r="261" spans="1:185" ht="30" x14ac:dyDescent="0.25">
      <c r="A261" s="116" t="s">
        <v>124</v>
      </c>
      <c r="B261" s="107">
        <f>SUM(B178,B164,B138,B86,B47,B33,B18)</f>
        <v>53084.4</v>
      </c>
      <c r="C261" s="107">
        <f>SUM(C178,C164,C138,C86,C47,C33,C18)</f>
        <v>35391</v>
      </c>
      <c r="D261" s="42">
        <f>SUM(D178,D164,D138,D86,D47,D33,D18)</f>
        <v>38823</v>
      </c>
      <c r="E261" s="107">
        <f t="shared" si="3"/>
        <v>109.69738069000594</v>
      </c>
      <c r="F261" s="696">
        <f t="shared" ref="F261:G261" si="11">SUM(F178,F164,F138,F86,F47,F33,F18)</f>
        <v>47358.992119373914</v>
      </c>
      <c r="G261" s="696">
        <f t="shared" si="11"/>
        <v>31572.670000000002</v>
      </c>
      <c r="H261" s="696">
        <f>SUM(H178,H164,H138,H86,H47,H33,H18)</f>
        <v>34467.593089999995</v>
      </c>
      <c r="I261" s="42">
        <f>H261/G261*100</f>
        <v>109.16907911177609</v>
      </c>
      <c r="J261" s="103"/>
      <c r="L261" s="727"/>
      <c r="M261" s="754"/>
      <c r="N261" s="754"/>
      <c r="O261" s="45"/>
      <c r="P261" s="45"/>
      <c r="Q261" s="45"/>
      <c r="R261" s="45"/>
      <c r="S261" s="45"/>
      <c r="T261" s="45"/>
      <c r="U261" s="45"/>
      <c r="V261" s="45"/>
      <c r="W261" s="45"/>
      <c r="X261" s="45"/>
      <c r="Y261" s="45"/>
      <c r="Z261" s="45"/>
      <c r="AA261" s="45"/>
      <c r="AB261" s="45"/>
      <c r="AC261" s="45"/>
      <c r="AD261" s="45"/>
      <c r="AE261" s="45"/>
      <c r="AF261" s="45"/>
      <c r="AG261" s="45"/>
      <c r="AH261" s="45"/>
      <c r="AI261" s="45"/>
      <c r="AJ261" s="45"/>
      <c r="AK261" s="45"/>
      <c r="AL261" s="45"/>
      <c r="AM261" s="45"/>
      <c r="AN261" s="45"/>
      <c r="AO261" s="45"/>
      <c r="AP261" s="45"/>
      <c r="AQ261" s="45"/>
      <c r="AR261" s="45"/>
      <c r="AS261" s="45"/>
      <c r="AT261" s="45"/>
      <c r="AU261" s="45"/>
      <c r="AV261" s="45"/>
      <c r="AW261" s="45"/>
      <c r="AX261" s="45"/>
      <c r="AY261" s="45"/>
      <c r="AZ261" s="45"/>
      <c r="BA261" s="45"/>
      <c r="BB261" s="45"/>
      <c r="BC261" s="45"/>
      <c r="BD261" s="45"/>
      <c r="BE261" s="45"/>
      <c r="BF261" s="45"/>
      <c r="BG261" s="45"/>
      <c r="BH261" s="45"/>
      <c r="BI261" s="45"/>
      <c r="BJ261" s="45"/>
      <c r="BK261" s="45"/>
      <c r="BL261" s="45"/>
      <c r="BM261" s="45"/>
      <c r="BN261" s="45"/>
      <c r="BO261" s="45"/>
      <c r="BP261" s="45"/>
      <c r="BQ261" s="45"/>
      <c r="BR261" s="45"/>
      <c r="BS261" s="45"/>
      <c r="BT261" s="45"/>
      <c r="BU261" s="45"/>
      <c r="BV261" s="45"/>
      <c r="BW261" s="45"/>
      <c r="BX261" s="45"/>
      <c r="BY261" s="45"/>
      <c r="BZ261" s="45"/>
      <c r="CA261" s="45"/>
      <c r="CB261" s="45"/>
      <c r="CC261" s="45"/>
      <c r="CD261" s="45"/>
      <c r="CE261" s="45"/>
      <c r="CF261" s="45"/>
      <c r="CG261" s="45"/>
      <c r="CH261" s="45"/>
      <c r="CI261" s="45"/>
      <c r="CJ261" s="45"/>
      <c r="CK261" s="45"/>
      <c r="CL261" s="45"/>
      <c r="CM261" s="45"/>
      <c r="CN261" s="45"/>
      <c r="CO261" s="45"/>
      <c r="CP261" s="45"/>
      <c r="CQ261" s="45"/>
      <c r="CR261" s="45"/>
      <c r="CS261" s="45"/>
      <c r="CT261" s="45"/>
      <c r="CU261" s="45"/>
      <c r="CV261" s="45"/>
      <c r="CW261" s="45"/>
      <c r="CX261" s="45"/>
      <c r="CY261" s="45"/>
      <c r="CZ261" s="45"/>
      <c r="DA261" s="45"/>
      <c r="DB261" s="45"/>
      <c r="DC261" s="45"/>
      <c r="DD261" s="45"/>
      <c r="DE261" s="45"/>
      <c r="DF261" s="45"/>
      <c r="DG261" s="45"/>
      <c r="DH261" s="45"/>
      <c r="DI261" s="45"/>
      <c r="DJ261" s="45"/>
      <c r="DK261" s="45"/>
      <c r="DL261" s="45"/>
      <c r="DM261" s="45"/>
      <c r="DN261" s="45"/>
      <c r="DO261" s="45"/>
      <c r="DP261" s="45"/>
      <c r="DQ261" s="45"/>
      <c r="DR261" s="45"/>
      <c r="DS261" s="45"/>
      <c r="DT261" s="45"/>
      <c r="DU261" s="45"/>
      <c r="DV261" s="45"/>
      <c r="DW261" s="45"/>
      <c r="DX261" s="45"/>
      <c r="DY261" s="45"/>
      <c r="DZ261" s="45"/>
      <c r="EA261" s="45"/>
      <c r="EB261" s="45"/>
      <c r="EC261" s="45"/>
      <c r="ED261" s="45"/>
      <c r="EE261" s="45"/>
      <c r="EF261" s="45"/>
      <c r="EG261" s="45"/>
      <c r="EH261" s="45"/>
      <c r="EI261" s="45"/>
      <c r="EJ261" s="45"/>
      <c r="EK261" s="45"/>
      <c r="EL261" s="45"/>
      <c r="EM261" s="45"/>
      <c r="EN261" s="45"/>
      <c r="EO261" s="45"/>
      <c r="EP261" s="45"/>
      <c r="EQ261" s="45"/>
      <c r="ER261" s="45"/>
      <c r="ES261" s="45"/>
      <c r="ET261" s="45"/>
      <c r="EU261" s="45"/>
      <c r="EV261" s="45"/>
      <c r="EW261" s="45"/>
      <c r="EX261" s="45"/>
      <c r="EY261" s="45"/>
      <c r="EZ261" s="45"/>
      <c r="FA261" s="45"/>
      <c r="FB261" s="45"/>
      <c r="FC261" s="45"/>
      <c r="FD261" s="45"/>
      <c r="FE261" s="45"/>
      <c r="FF261" s="45"/>
      <c r="FG261" s="45"/>
      <c r="FH261" s="45"/>
      <c r="FI261" s="45"/>
      <c r="FJ261" s="45"/>
      <c r="FK261" s="45"/>
      <c r="FL261" s="45"/>
      <c r="FM261" s="45"/>
      <c r="FN261" s="45"/>
      <c r="FO261" s="45"/>
      <c r="FP261" s="45"/>
      <c r="FQ261" s="45"/>
      <c r="FR261" s="45"/>
      <c r="FS261" s="45"/>
      <c r="FT261" s="45"/>
      <c r="FU261" s="45"/>
      <c r="FV261" s="45"/>
      <c r="FW261" s="45"/>
      <c r="FX261" s="45"/>
      <c r="FY261" s="45"/>
      <c r="FZ261" s="45"/>
      <c r="GA261" s="45"/>
      <c r="GB261" s="45"/>
      <c r="GC261" s="45"/>
    </row>
    <row r="262" spans="1:185" ht="30.75" thickBot="1" x14ac:dyDescent="0.3">
      <c r="A262" s="681" t="s">
        <v>125</v>
      </c>
      <c r="B262" s="642">
        <f>SUM(B179,B165,B139,B100,B87,B48,B34,B19,B73,B113,B192)</f>
        <v>37075.599999999999</v>
      </c>
      <c r="C262" s="642">
        <f t="shared" ref="C262" si="12">SUM(C179,C165,C139,C100,C87,C48,C34,C19,C73,C113,C192)</f>
        <v>24715</v>
      </c>
      <c r="D262" s="643">
        <f>SUM(D179,D165,D139,D100,D87,D48,D34,D19,D73,D113,D192)</f>
        <v>29173</v>
      </c>
      <c r="E262" s="642">
        <f t="shared" si="3"/>
        <v>118.03762897026098</v>
      </c>
      <c r="F262" s="697">
        <f t="shared" ref="F262:G262" si="13">SUM(F179,F165,F139,F100,F87,F48,F34,F19,F73,F113,F192)</f>
        <v>33427.291346620885</v>
      </c>
      <c r="G262" s="697">
        <f t="shared" si="13"/>
        <v>22284.85</v>
      </c>
      <c r="H262" s="697">
        <f t="shared" ref="H262" si="14">SUM(H179,H165,H139,H100,H87,H48,H34,H19,H73,H113,H192)</f>
        <v>26827.371150000003</v>
      </c>
      <c r="I262" s="643">
        <f t="shared" ref="I262" si="15">H262/G262*100</f>
        <v>120.38389825374639</v>
      </c>
      <c r="J262" s="103"/>
      <c r="L262" s="727"/>
      <c r="M262" s="754"/>
      <c r="N262" s="754"/>
    </row>
    <row r="264" spans="1:185" x14ac:dyDescent="0.25">
      <c r="A264" s="44" t="s">
        <v>131</v>
      </c>
    </row>
  </sheetData>
  <autoFilter ref="A6:GC262"/>
  <mergeCells count="4">
    <mergeCell ref="B4:E4"/>
    <mergeCell ref="F4:I4"/>
    <mergeCell ref="A1:I1"/>
    <mergeCell ref="A2:I2"/>
  </mergeCells>
  <phoneticPr fontId="0" type="noConversion"/>
  <pageMargins left="0.59055118110236227" right="0.23622047244094491" top="0" bottom="0" header="0.19685039370078741" footer="0.19685039370078741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Москвич Наталья Владимировна</dc:creator>
  <cp:lastModifiedBy>Москвич Наталья Владимировна</cp:lastModifiedBy>
  <cp:lastPrinted>2018-09-27T00:47:45Z</cp:lastPrinted>
  <dcterms:created xsi:type="dcterms:W3CDTF">2018-07-26T00:19:35Z</dcterms:created>
  <dcterms:modified xsi:type="dcterms:W3CDTF">2018-09-27T00:48:06Z</dcterms:modified>
</cp:coreProperties>
</file>